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activeTab="5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Перечень!$A$12:$GB$1191</definedName>
    <definedName name="_xlnm._FilterDatabase" localSheetId="5" hidden="1">Перечень_бонусы!$A$63:$Q$195</definedName>
    <definedName name="_xlnm._FilterDatabase" localSheetId="3" hidden="1">'Плановые показатели'!$A$9:$J$194</definedName>
    <definedName name="_xlnm._FilterDatabase" localSheetId="0" hidden="1">Реестр!$A$18:$CE$1197</definedName>
    <definedName name="_xlnm._FilterDatabase" localSheetId="4" hidden="1">Реестр_бонусы!$A$65:$AK$196</definedName>
    <definedName name="_xlnm.Print_Area" localSheetId="1">Перечень!$A$1:$U$12</definedName>
    <definedName name="_xlnm.Print_Area" localSheetId="0">Реестр!$B$1:$AI$1198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1" i="7" l="1"/>
  <c r="C136" i="5" l="1"/>
  <c r="D136" i="5"/>
  <c r="Q1024" i="3"/>
  <c r="R1024" i="3"/>
  <c r="J1024" i="3"/>
  <c r="K1024" i="3"/>
  <c r="L1024" i="3"/>
  <c r="I1024" i="3"/>
  <c r="B1035" i="3"/>
  <c r="T1035" i="3"/>
  <c r="U1035" i="3" s="1"/>
  <c r="U1024" i="3" s="1"/>
  <c r="S1035" i="3"/>
  <c r="Q745" i="3"/>
  <c r="R745" i="3"/>
  <c r="I745" i="3"/>
  <c r="T765" i="3"/>
  <c r="U765" i="3" s="1"/>
  <c r="U745" i="3" s="1"/>
  <c r="S765" i="3"/>
  <c r="J745" i="3"/>
  <c r="L745" i="3"/>
  <c r="B765" i="3"/>
  <c r="U436" i="3"/>
  <c r="Q436" i="3"/>
  <c r="R436" i="3"/>
  <c r="J436" i="3"/>
  <c r="K436" i="3"/>
  <c r="L436" i="3"/>
  <c r="I436" i="3"/>
  <c r="Q868" i="3"/>
  <c r="R868" i="3"/>
  <c r="J868" i="3"/>
  <c r="L868" i="3"/>
  <c r="I868" i="3"/>
  <c r="B871" i="3"/>
  <c r="Q244" i="3"/>
  <c r="R244" i="3"/>
  <c r="J244" i="3"/>
  <c r="L244" i="3"/>
  <c r="I244" i="3"/>
  <c r="U770" i="3"/>
  <c r="Q770" i="3"/>
  <c r="R770" i="3"/>
  <c r="J770" i="3"/>
  <c r="L770" i="3"/>
  <c r="I770" i="3"/>
  <c r="B783" i="3"/>
  <c r="B774" i="3"/>
  <c r="B775" i="3"/>
  <c r="B776" i="3"/>
  <c r="B777" i="3"/>
  <c r="B778" i="3"/>
  <c r="B779" i="3"/>
  <c r="B780" i="3"/>
  <c r="B781" i="3"/>
  <c r="B782" i="3"/>
  <c r="Q129" i="3"/>
  <c r="R129" i="3"/>
  <c r="J129" i="3"/>
  <c r="K129" i="3"/>
  <c r="L129" i="3"/>
  <c r="I129" i="3"/>
  <c r="Q674" i="3"/>
  <c r="R674" i="3"/>
  <c r="J674" i="3"/>
  <c r="K674" i="3"/>
  <c r="L674" i="3"/>
  <c r="I674" i="3"/>
  <c r="B678" i="3"/>
  <c r="B679" i="3"/>
  <c r="B680" i="3"/>
  <c r="B681" i="3"/>
  <c r="B682" i="3"/>
  <c r="B683" i="3"/>
  <c r="B684" i="3"/>
  <c r="B685" i="3"/>
  <c r="B686" i="3"/>
  <c r="B687" i="3"/>
  <c r="B688" i="3"/>
  <c r="E1045" i="7"/>
  <c r="F1045" i="7"/>
  <c r="G1045" i="7"/>
  <c r="H1045" i="7"/>
  <c r="I1045" i="7"/>
  <c r="J1045" i="7"/>
  <c r="K1045" i="7"/>
  <c r="L1045" i="7"/>
  <c r="M1045" i="7"/>
  <c r="N1045" i="7"/>
  <c r="O1045" i="7"/>
  <c r="P1045" i="7"/>
  <c r="Q1045" i="7"/>
  <c r="R1045" i="7"/>
  <c r="S1045" i="7"/>
  <c r="T1045" i="7"/>
  <c r="U1045" i="7"/>
  <c r="V1045" i="7"/>
  <c r="W1045" i="7"/>
  <c r="X1045" i="7"/>
  <c r="Y1045" i="7"/>
  <c r="Z1045" i="7"/>
  <c r="AA1045" i="7"/>
  <c r="AB1045" i="7"/>
  <c r="AD1045" i="7"/>
  <c r="AE1045" i="7"/>
  <c r="E1042" i="7"/>
  <c r="F1042" i="7"/>
  <c r="G1042" i="7"/>
  <c r="H1042" i="7"/>
  <c r="I1042" i="7"/>
  <c r="J1042" i="7"/>
  <c r="K1042" i="7"/>
  <c r="L1042" i="7"/>
  <c r="M1042" i="7"/>
  <c r="N1042" i="7"/>
  <c r="O1042" i="7"/>
  <c r="P1042" i="7"/>
  <c r="Q1042" i="7"/>
  <c r="R1042" i="7"/>
  <c r="S1042" i="7"/>
  <c r="T1042" i="7"/>
  <c r="U1042" i="7"/>
  <c r="V1042" i="7"/>
  <c r="W1042" i="7"/>
  <c r="X1042" i="7"/>
  <c r="Y1042" i="7"/>
  <c r="Z1042" i="7"/>
  <c r="AA1042" i="7"/>
  <c r="AB1042" i="7"/>
  <c r="AD1042" i="7"/>
  <c r="AE1042" i="7"/>
  <c r="E1030" i="7"/>
  <c r="F1030" i="7"/>
  <c r="G1030" i="7"/>
  <c r="H1030" i="7"/>
  <c r="I1030" i="7"/>
  <c r="J1030" i="7"/>
  <c r="K1030" i="7"/>
  <c r="L1030" i="7"/>
  <c r="M1030" i="7"/>
  <c r="N1030" i="7"/>
  <c r="O1030" i="7"/>
  <c r="P1030" i="7"/>
  <c r="Q1030" i="7"/>
  <c r="R1030" i="7"/>
  <c r="S1030" i="7"/>
  <c r="T1030" i="7"/>
  <c r="U1030" i="7"/>
  <c r="V1030" i="7"/>
  <c r="W1030" i="7"/>
  <c r="X1030" i="7"/>
  <c r="Y1030" i="7"/>
  <c r="Z1030" i="7"/>
  <c r="AA1030" i="7"/>
  <c r="AB1030" i="7"/>
  <c r="AD1030" i="7"/>
  <c r="AE1030" i="7"/>
  <c r="E1002" i="7"/>
  <c r="F1002" i="7"/>
  <c r="G1002" i="7"/>
  <c r="H1002" i="7"/>
  <c r="I1002" i="7"/>
  <c r="J1002" i="7"/>
  <c r="K1002" i="7"/>
  <c r="L1002" i="7"/>
  <c r="M1002" i="7"/>
  <c r="N1002" i="7"/>
  <c r="O1002" i="7"/>
  <c r="P1002" i="7"/>
  <c r="Q1002" i="7"/>
  <c r="R1002" i="7"/>
  <c r="S1002" i="7"/>
  <c r="T1002" i="7"/>
  <c r="U1002" i="7"/>
  <c r="V1002" i="7"/>
  <c r="W1002" i="7"/>
  <c r="X1002" i="7"/>
  <c r="Y1002" i="7"/>
  <c r="Z1002" i="7"/>
  <c r="AA1002" i="7"/>
  <c r="AB1002" i="7"/>
  <c r="AD1002" i="7"/>
  <c r="AE1002" i="7"/>
  <c r="E987" i="7"/>
  <c r="F987" i="7"/>
  <c r="G987" i="7"/>
  <c r="H987" i="7"/>
  <c r="I987" i="7"/>
  <c r="J987" i="7"/>
  <c r="K987" i="7"/>
  <c r="L987" i="7"/>
  <c r="M987" i="7"/>
  <c r="N987" i="7"/>
  <c r="O987" i="7"/>
  <c r="P987" i="7"/>
  <c r="Q987" i="7"/>
  <c r="R987" i="7"/>
  <c r="S987" i="7"/>
  <c r="T987" i="7"/>
  <c r="U987" i="7"/>
  <c r="V987" i="7"/>
  <c r="W987" i="7"/>
  <c r="X987" i="7"/>
  <c r="Y987" i="7"/>
  <c r="Z987" i="7"/>
  <c r="AA987" i="7"/>
  <c r="AB987" i="7"/>
  <c r="AD987" i="7"/>
  <c r="AE987" i="7"/>
  <c r="E928" i="7"/>
  <c r="F928" i="7"/>
  <c r="G928" i="7"/>
  <c r="H928" i="7"/>
  <c r="I928" i="7"/>
  <c r="J928" i="7"/>
  <c r="K928" i="7"/>
  <c r="L928" i="7"/>
  <c r="M928" i="7"/>
  <c r="N928" i="7"/>
  <c r="O928" i="7"/>
  <c r="P928" i="7"/>
  <c r="Q928" i="7"/>
  <c r="R928" i="7"/>
  <c r="S928" i="7"/>
  <c r="T928" i="7"/>
  <c r="U928" i="7"/>
  <c r="V928" i="7"/>
  <c r="W928" i="7"/>
  <c r="X928" i="7"/>
  <c r="Y928" i="7"/>
  <c r="Z928" i="7"/>
  <c r="AA928" i="7"/>
  <c r="AB928" i="7"/>
  <c r="AD928" i="7"/>
  <c r="AE928" i="7"/>
  <c r="E442" i="7"/>
  <c r="F442" i="7"/>
  <c r="G442" i="7"/>
  <c r="H442" i="7"/>
  <c r="I442" i="7"/>
  <c r="J442" i="7"/>
  <c r="K442" i="7"/>
  <c r="L442" i="7"/>
  <c r="M442" i="7"/>
  <c r="N442" i="7"/>
  <c r="O442" i="7"/>
  <c r="P442" i="7"/>
  <c r="Q442" i="7"/>
  <c r="R442" i="7"/>
  <c r="S442" i="7"/>
  <c r="T442" i="7"/>
  <c r="U442" i="7"/>
  <c r="V442" i="7"/>
  <c r="W442" i="7"/>
  <c r="X442" i="7"/>
  <c r="Y442" i="7"/>
  <c r="Z442" i="7"/>
  <c r="AA442" i="7"/>
  <c r="AB442" i="7"/>
  <c r="AD442" i="7"/>
  <c r="AE442" i="7"/>
  <c r="E250" i="7"/>
  <c r="F250" i="7"/>
  <c r="G250" i="7"/>
  <c r="H250" i="7"/>
  <c r="I250" i="7"/>
  <c r="J250" i="7"/>
  <c r="K250" i="7"/>
  <c r="L250" i="7"/>
  <c r="M250" i="7"/>
  <c r="N250" i="7"/>
  <c r="O250" i="7"/>
  <c r="P250" i="7"/>
  <c r="Q250" i="7"/>
  <c r="R250" i="7"/>
  <c r="S250" i="7"/>
  <c r="T250" i="7"/>
  <c r="U250" i="7"/>
  <c r="V250" i="7"/>
  <c r="W250" i="7"/>
  <c r="X250" i="7"/>
  <c r="Y250" i="7"/>
  <c r="Z250" i="7"/>
  <c r="AA250" i="7"/>
  <c r="AB250" i="7"/>
  <c r="AD250" i="7"/>
  <c r="AE250" i="7"/>
  <c r="E135" i="7"/>
  <c r="F135" i="7"/>
  <c r="G135" i="7"/>
  <c r="H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Z135" i="7"/>
  <c r="AA135" i="7"/>
  <c r="AB135" i="7"/>
  <c r="AD135" i="7"/>
  <c r="AE135" i="7"/>
  <c r="N1039" i="7"/>
  <c r="AC1041" i="7" l="1"/>
  <c r="D1041" i="7" s="1"/>
  <c r="E751" i="7"/>
  <c r="F751" i="7"/>
  <c r="G751" i="7"/>
  <c r="H751" i="7"/>
  <c r="I751" i="7"/>
  <c r="J751" i="7"/>
  <c r="K751" i="7"/>
  <c r="L751" i="7"/>
  <c r="M751" i="7"/>
  <c r="N751" i="7"/>
  <c r="O751" i="7"/>
  <c r="P751" i="7"/>
  <c r="Q751" i="7"/>
  <c r="R751" i="7"/>
  <c r="S751" i="7"/>
  <c r="T751" i="7"/>
  <c r="U751" i="7"/>
  <c r="V751" i="7"/>
  <c r="W751" i="7"/>
  <c r="X751" i="7"/>
  <c r="Y751" i="7"/>
  <c r="Z751" i="7"/>
  <c r="AA751" i="7"/>
  <c r="AB751" i="7"/>
  <c r="AD751" i="7"/>
  <c r="AE751" i="7"/>
  <c r="D771" i="7"/>
  <c r="B771" i="7"/>
  <c r="B1034" i="7"/>
  <c r="B1035" i="7"/>
  <c r="B1036" i="7"/>
  <c r="B1037" i="7"/>
  <c r="B1038" i="7"/>
  <c r="B1039" i="7"/>
  <c r="B1040" i="7"/>
  <c r="B1041" i="7"/>
  <c r="E874" i="7"/>
  <c r="F874" i="7"/>
  <c r="G874" i="7"/>
  <c r="H874" i="7"/>
  <c r="I874" i="7"/>
  <c r="J874" i="7"/>
  <c r="K874" i="7"/>
  <c r="L874" i="7"/>
  <c r="M874" i="7"/>
  <c r="O874" i="7"/>
  <c r="P874" i="7"/>
  <c r="Q874" i="7"/>
  <c r="R874" i="7"/>
  <c r="S874" i="7"/>
  <c r="T874" i="7"/>
  <c r="U874" i="7"/>
  <c r="V874" i="7"/>
  <c r="W874" i="7"/>
  <c r="X874" i="7"/>
  <c r="Y874" i="7"/>
  <c r="Z874" i="7"/>
  <c r="AA874" i="7"/>
  <c r="AB874" i="7"/>
  <c r="AD874" i="7"/>
  <c r="AE874" i="7"/>
  <c r="B877" i="7"/>
  <c r="E776" i="7"/>
  <c r="F776" i="7"/>
  <c r="G776" i="7"/>
  <c r="H776" i="7"/>
  <c r="I776" i="7"/>
  <c r="J776" i="7"/>
  <c r="K776" i="7"/>
  <c r="L776" i="7"/>
  <c r="M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D776" i="7"/>
  <c r="AE776" i="7"/>
  <c r="B789" i="7"/>
  <c r="F680" i="7"/>
  <c r="G680" i="7"/>
  <c r="H680" i="7"/>
  <c r="I680" i="7"/>
  <c r="J680" i="7"/>
  <c r="K680" i="7"/>
  <c r="L680" i="7"/>
  <c r="M680" i="7"/>
  <c r="N680" i="7"/>
  <c r="O680" i="7"/>
  <c r="P680" i="7"/>
  <c r="Q680" i="7"/>
  <c r="R680" i="7"/>
  <c r="S680" i="7"/>
  <c r="T680" i="7"/>
  <c r="U680" i="7"/>
  <c r="V680" i="7"/>
  <c r="W680" i="7"/>
  <c r="X680" i="7"/>
  <c r="Y680" i="7"/>
  <c r="Z680" i="7"/>
  <c r="AA680" i="7"/>
  <c r="AB680" i="7"/>
  <c r="AD680" i="7"/>
  <c r="AE680" i="7"/>
  <c r="B693" i="7"/>
  <c r="B694" i="7"/>
  <c r="K754" i="3" l="1"/>
  <c r="K745" i="3" s="1"/>
  <c r="T754" i="3"/>
  <c r="S754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AC1039" i="7"/>
  <c r="AC1040" i="7"/>
  <c r="AC760" i="7" l="1"/>
  <c r="D760" i="7" s="1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T201" i="3" l="1"/>
  <c r="T202" i="3"/>
  <c r="L323" i="7" l="1"/>
  <c r="L322" i="7"/>
  <c r="L321" i="7"/>
  <c r="N789" i="7"/>
  <c r="N776" i="7" s="1"/>
  <c r="F29" i="10" l="1"/>
  <c r="E29" i="10"/>
  <c r="D29" i="10"/>
  <c r="C29" i="10"/>
  <c r="J74" i="9"/>
  <c r="K74" i="9"/>
  <c r="L74" i="9"/>
  <c r="I74" i="9"/>
  <c r="P74" i="9" s="1"/>
  <c r="P89" i="9"/>
  <c r="P90" i="9"/>
  <c r="B196" i="9"/>
  <c r="B90" i="9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F75" i="8"/>
  <c r="AG75" i="8"/>
  <c r="AE91" i="8"/>
  <c r="F91" i="8" s="1"/>
  <c r="B91" i="8"/>
  <c r="P65" i="9"/>
  <c r="P66" i="9"/>
  <c r="P67" i="9"/>
  <c r="P68" i="9"/>
  <c r="P69" i="9"/>
  <c r="P70" i="9"/>
  <c r="P72" i="9"/>
  <c r="P73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92" i="9"/>
  <c r="P93" i="9"/>
  <c r="P94" i="9"/>
  <c r="P95" i="9"/>
  <c r="P96" i="9"/>
  <c r="P97" i="9"/>
  <c r="P99" i="9"/>
  <c r="P100" i="9"/>
  <c r="P101" i="9"/>
  <c r="P102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5" i="9"/>
  <c r="P146" i="9"/>
  <c r="P147" i="9"/>
  <c r="P148" i="9"/>
  <c r="P149" i="9"/>
  <c r="P151" i="9"/>
  <c r="P152" i="9"/>
  <c r="P154" i="9"/>
  <c r="P156" i="9"/>
  <c r="P158" i="9"/>
  <c r="P159" i="9"/>
  <c r="P160" i="9"/>
  <c r="P161" i="9"/>
  <c r="P163" i="9"/>
  <c r="P165" i="9"/>
  <c r="P167" i="9"/>
  <c r="P168" i="9"/>
  <c r="P170" i="9"/>
  <c r="P171" i="9"/>
  <c r="P173" i="9"/>
  <c r="P175" i="9"/>
  <c r="P177" i="9"/>
  <c r="P178" i="9"/>
  <c r="P179" i="9"/>
  <c r="P181" i="9"/>
  <c r="P183" i="9"/>
  <c r="P185" i="9"/>
  <c r="P187" i="9"/>
  <c r="P189" i="9"/>
  <c r="P191" i="9"/>
  <c r="P193" i="9"/>
  <c r="P194" i="9"/>
  <c r="P195" i="9"/>
  <c r="P196" i="9"/>
  <c r="Q195" i="9"/>
  <c r="J195" i="9"/>
  <c r="K195" i="9"/>
  <c r="L195" i="9"/>
  <c r="I195" i="9"/>
  <c r="Q1097" i="3"/>
  <c r="R1097" i="3"/>
  <c r="J1097" i="3"/>
  <c r="L1097" i="3"/>
  <c r="I1097" i="3"/>
  <c r="U1067" i="3"/>
  <c r="Q1067" i="3"/>
  <c r="R1067" i="3"/>
  <c r="J1067" i="3"/>
  <c r="K1067" i="3"/>
  <c r="L1067" i="3"/>
  <c r="I1067" i="3"/>
  <c r="U1055" i="3"/>
  <c r="Q1055" i="3"/>
  <c r="R1055" i="3"/>
  <c r="J1055" i="3"/>
  <c r="K1055" i="3"/>
  <c r="L1055" i="3"/>
  <c r="I1055" i="3"/>
  <c r="I996" i="3"/>
  <c r="Q981" i="3"/>
  <c r="R981" i="3"/>
  <c r="J981" i="3"/>
  <c r="L981" i="3"/>
  <c r="I981" i="3"/>
  <c r="U893" i="3"/>
  <c r="Q893" i="3"/>
  <c r="R893" i="3"/>
  <c r="J893" i="3"/>
  <c r="K893" i="3"/>
  <c r="L893" i="3"/>
  <c r="I893" i="3"/>
  <c r="U802" i="3"/>
  <c r="Q802" i="3"/>
  <c r="R802" i="3"/>
  <c r="J802" i="3"/>
  <c r="K802" i="3"/>
  <c r="L802" i="3"/>
  <c r="I802" i="3"/>
  <c r="U792" i="3"/>
  <c r="Q792" i="3"/>
  <c r="R792" i="3"/>
  <c r="J792" i="3"/>
  <c r="K792" i="3"/>
  <c r="L792" i="3"/>
  <c r="I792" i="3"/>
  <c r="Q483" i="3"/>
  <c r="R483" i="3"/>
  <c r="J483" i="3"/>
  <c r="L483" i="3"/>
  <c r="I483" i="3"/>
  <c r="U372" i="3"/>
  <c r="Q372" i="3"/>
  <c r="R372" i="3"/>
  <c r="J372" i="3"/>
  <c r="L372" i="3"/>
  <c r="I372" i="3"/>
  <c r="Q162" i="3"/>
  <c r="R162" i="3"/>
  <c r="J162" i="3"/>
  <c r="L162" i="3"/>
  <c r="I162" i="3"/>
  <c r="S1103" i="3"/>
  <c r="S995" i="3"/>
  <c r="S871" i="3"/>
  <c r="S783" i="3"/>
  <c r="S202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30" i="3"/>
  <c r="T131" i="3"/>
  <c r="T132" i="3"/>
  <c r="U132" i="3" s="1"/>
  <c r="T133" i="3"/>
  <c r="U133" i="3" s="1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687" i="3"/>
  <c r="T688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8" i="3"/>
  <c r="T239" i="3"/>
  <c r="T240" i="3"/>
  <c r="T241" i="3"/>
  <c r="T242" i="3"/>
  <c r="T243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783" i="3"/>
  <c r="T274" i="3"/>
  <c r="T275" i="3"/>
  <c r="T276" i="3"/>
  <c r="T277" i="3"/>
  <c r="T278" i="3"/>
  <c r="T279" i="3"/>
  <c r="T280" i="3"/>
  <c r="T282" i="3"/>
  <c r="T283" i="3"/>
  <c r="T284" i="3"/>
  <c r="T285" i="3"/>
  <c r="T286" i="3"/>
  <c r="T287" i="3"/>
  <c r="T289" i="3"/>
  <c r="T290" i="3"/>
  <c r="T291" i="3"/>
  <c r="T292" i="3"/>
  <c r="T294" i="3"/>
  <c r="T296" i="3"/>
  <c r="T297" i="3"/>
  <c r="T299" i="3"/>
  <c r="T300" i="3"/>
  <c r="T301" i="3"/>
  <c r="T302" i="3"/>
  <c r="T303" i="3"/>
  <c r="T305" i="3"/>
  <c r="T306" i="3"/>
  <c r="T307" i="3"/>
  <c r="T308" i="3"/>
  <c r="T309" i="3"/>
  <c r="T311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9" i="3"/>
  <c r="T350" i="3"/>
  <c r="T351" i="3"/>
  <c r="T352" i="3"/>
  <c r="T353" i="3"/>
  <c r="T354" i="3"/>
  <c r="T356" i="3"/>
  <c r="T357" i="3"/>
  <c r="T358" i="3"/>
  <c r="T360" i="3"/>
  <c r="T361" i="3"/>
  <c r="T363" i="3"/>
  <c r="T364" i="3"/>
  <c r="T365" i="3"/>
  <c r="T367" i="3"/>
  <c r="T368" i="3"/>
  <c r="T369" i="3"/>
  <c r="T371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9" i="3"/>
  <c r="T390" i="3"/>
  <c r="T392" i="3"/>
  <c r="T394" i="3"/>
  <c r="T396" i="3"/>
  <c r="T397" i="3"/>
  <c r="T398" i="3"/>
  <c r="T399" i="3"/>
  <c r="T401" i="3"/>
  <c r="T402" i="3"/>
  <c r="T404" i="3"/>
  <c r="T406" i="3"/>
  <c r="T407" i="3"/>
  <c r="T408" i="3"/>
  <c r="T409" i="3"/>
  <c r="T411" i="3"/>
  <c r="T413" i="3"/>
  <c r="T414" i="3"/>
  <c r="T415" i="3"/>
  <c r="T416" i="3"/>
  <c r="T417" i="3"/>
  <c r="T418" i="3"/>
  <c r="T420" i="3"/>
  <c r="T422" i="3"/>
  <c r="T424" i="3"/>
  <c r="T425" i="3"/>
  <c r="T426" i="3"/>
  <c r="T427" i="3"/>
  <c r="T428" i="3"/>
  <c r="T430" i="3"/>
  <c r="T432" i="3"/>
  <c r="T433" i="3"/>
  <c r="T434" i="3"/>
  <c r="T435" i="3"/>
  <c r="T437" i="3"/>
  <c r="T438" i="3"/>
  <c r="T439" i="3"/>
  <c r="T440" i="3"/>
  <c r="T441" i="3"/>
  <c r="T442" i="3"/>
  <c r="T443" i="3"/>
  <c r="T871" i="3"/>
  <c r="U871" i="3" s="1"/>
  <c r="U868" i="3" s="1"/>
  <c r="T445" i="3"/>
  <c r="T446" i="3"/>
  <c r="T447" i="3"/>
  <c r="T448" i="3"/>
  <c r="T449" i="3"/>
  <c r="T451" i="3"/>
  <c r="T452" i="3"/>
  <c r="T454" i="3"/>
  <c r="T455" i="3"/>
  <c r="T456" i="3"/>
  <c r="T457" i="3"/>
  <c r="T458" i="3"/>
  <c r="T459" i="3"/>
  <c r="T460" i="3"/>
  <c r="T461" i="3"/>
  <c r="T462" i="3"/>
  <c r="T464" i="3"/>
  <c r="T466" i="3"/>
  <c r="T468" i="3"/>
  <c r="T470" i="3"/>
  <c r="T472" i="3"/>
  <c r="T474" i="3"/>
  <c r="T476" i="3"/>
  <c r="T478" i="3"/>
  <c r="T479" i="3"/>
  <c r="T480" i="3"/>
  <c r="T481" i="3"/>
  <c r="T482" i="3"/>
  <c r="T484" i="3"/>
  <c r="T485" i="3"/>
  <c r="T486" i="3"/>
  <c r="T487" i="3"/>
  <c r="T488" i="3"/>
  <c r="T489" i="3"/>
  <c r="T490" i="3"/>
  <c r="T491" i="3"/>
  <c r="T492" i="3"/>
  <c r="T493" i="3"/>
  <c r="T494" i="3"/>
  <c r="T496" i="3"/>
  <c r="T497" i="3"/>
  <c r="T498" i="3"/>
  <c r="T499" i="3"/>
  <c r="T500" i="3"/>
  <c r="T501" i="3"/>
  <c r="T502" i="3"/>
  <c r="T503" i="3"/>
  <c r="T505" i="3"/>
  <c r="T507" i="3"/>
  <c r="T509" i="3"/>
  <c r="T510" i="3"/>
  <c r="T511" i="3"/>
  <c r="T512" i="3"/>
  <c r="T513" i="3"/>
  <c r="T515" i="3"/>
  <c r="T517" i="3"/>
  <c r="T519" i="3"/>
  <c r="T521" i="3"/>
  <c r="T523" i="3"/>
  <c r="T525" i="3"/>
  <c r="T526" i="3"/>
  <c r="T527" i="3"/>
  <c r="T528" i="3"/>
  <c r="T529" i="3"/>
  <c r="T530" i="3"/>
  <c r="T532" i="3"/>
  <c r="T534" i="3"/>
  <c r="T535" i="3"/>
  <c r="T537" i="3"/>
  <c r="T539" i="3"/>
  <c r="T540" i="3"/>
  <c r="T541" i="3"/>
  <c r="T542" i="3"/>
  <c r="T543" i="3"/>
  <c r="T544" i="3"/>
  <c r="T545" i="3"/>
  <c r="T546" i="3"/>
  <c r="T548" i="3"/>
  <c r="T549" i="3"/>
  <c r="T550" i="3"/>
  <c r="T551" i="3"/>
  <c r="T552" i="3"/>
  <c r="T554" i="3"/>
  <c r="T555" i="3"/>
  <c r="T556" i="3"/>
  <c r="T558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6" i="3"/>
  <c r="T747" i="3"/>
  <c r="T748" i="3"/>
  <c r="T749" i="3"/>
  <c r="T750" i="3"/>
  <c r="T751" i="3"/>
  <c r="T752" i="3"/>
  <c r="T753" i="3"/>
  <c r="T755" i="3"/>
  <c r="T756" i="3"/>
  <c r="T757" i="3"/>
  <c r="T758" i="3"/>
  <c r="T759" i="3"/>
  <c r="T760" i="3"/>
  <c r="T761" i="3"/>
  <c r="T762" i="3"/>
  <c r="T763" i="3"/>
  <c r="T764" i="3"/>
  <c r="T767" i="3"/>
  <c r="T768" i="3"/>
  <c r="T769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5" i="3"/>
  <c r="T786" i="3"/>
  <c r="T788" i="3"/>
  <c r="T789" i="3"/>
  <c r="T790" i="3"/>
  <c r="T791" i="3"/>
  <c r="T793" i="3"/>
  <c r="T794" i="3"/>
  <c r="T796" i="3"/>
  <c r="T798" i="3"/>
  <c r="T799" i="3"/>
  <c r="T801" i="3"/>
  <c r="T803" i="3"/>
  <c r="T805" i="3"/>
  <c r="T806" i="3"/>
  <c r="T807" i="3"/>
  <c r="T808" i="3"/>
  <c r="T809" i="3"/>
  <c r="T810" i="3"/>
  <c r="T812" i="3"/>
  <c r="T813" i="3"/>
  <c r="T815" i="3"/>
  <c r="T817" i="3"/>
  <c r="T819" i="3"/>
  <c r="T821" i="3"/>
  <c r="T823" i="3"/>
  <c r="T825" i="3"/>
  <c r="T827" i="3"/>
  <c r="T829" i="3"/>
  <c r="T830" i="3"/>
  <c r="T831" i="3"/>
  <c r="T832" i="3"/>
  <c r="T833" i="3"/>
  <c r="T834" i="3"/>
  <c r="T835" i="3"/>
  <c r="T836" i="3"/>
  <c r="T838" i="3"/>
  <c r="T840" i="3"/>
  <c r="T841" i="3"/>
  <c r="T843" i="3"/>
  <c r="T845" i="3"/>
  <c r="T847" i="3"/>
  <c r="T848" i="3"/>
  <c r="T849" i="3"/>
  <c r="T850" i="3"/>
  <c r="T852" i="3"/>
  <c r="T853" i="3"/>
  <c r="T855" i="3"/>
  <c r="T857" i="3"/>
  <c r="T859" i="3"/>
  <c r="T861" i="3"/>
  <c r="T863" i="3"/>
  <c r="T865" i="3"/>
  <c r="T867" i="3"/>
  <c r="T869" i="3"/>
  <c r="T870" i="3"/>
  <c r="T873" i="3"/>
  <c r="T875" i="3"/>
  <c r="T877" i="3"/>
  <c r="T878" i="3"/>
  <c r="T879" i="3"/>
  <c r="T880" i="3"/>
  <c r="T881" i="3"/>
  <c r="T883" i="3"/>
  <c r="T884" i="3"/>
  <c r="T886" i="3"/>
  <c r="T888" i="3"/>
  <c r="T890" i="3"/>
  <c r="T892" i="3"/>
  <c r="T894" i="3"/>
  <c r="T896" i="3"/>
  <c r="T897" i="3"/>
  <c r="T898" i="3"/>
  <c r="T900" i="3"/>
  <c r="T901" i="3"/>
  <c r="T903" i="3"/>
  <c r="T905" i="3"/>
  <c r="T907" i="3"/>
  <c r="T909" i="3"/>
  <c r="T910" i="3"/>
  <c r="T911" i="3"/>
  <c r="T913" i="3"/>
  <c r="T915" i="3"/>
  <c r="T916" i="3"/>
  <c r="T918" i="3"/>
  <c r="T920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8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3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2" i="3"/>
  <c r="T983" i="3"/>
  <c r="T984" i="3"/>
  <c r="T985" i="3"/>
  <c r="T986" i="3"/>
  <c r="T987" i="3"/>
  <c r="T988" i="3"/>
  <c r="T989" i="3"/>
  <c r="T990" i="3"/>
  <c r="T991" i="3"/>
  <c r="T992" i="3"/>
  <c r="T993" i="3"/>
  <c r="T994" i="3"/>
  <c r="T995" i="3"/>
  <c r="U995" i="3" s="1"/>
  <c r="T997" i="3"/>
  <c r="T998" i="3"/>
  <c r="T999" i="3"/>
  <c r="T1000" i="3"/>
  <c r="T1001" i="3"/>
  <c r="T1002" i="3"/>
  <c r="T1003" i="3"/>
  <c r="T1004" i="3"/>
  <c r="T1005" i="3"/>
  <c r="T1006" i="3"/>
  <c r="T1007" i="3"/>
  <c r="T1008" i="3"/>
  <c r="T1009" i="3"/>
  <c r="T1010" i="3"/>
  <c r="T1011" i="3"/>
  <c r="T1012" i="3"/>
  <c r="T1013" i="3"/>
  <c r="T1014" i="3"/>
  <c r="T1015" i="3"/>
  <c r="T1016" i="3"/>
  <c r="T1017" i="3"/>
  <c r="T1018" i="3"/>
  <c r="T1019" i="3"/>
  <c r="T1020" i="3"/>
  <c r="T1021" i="3"/>
  <c r="T1022" i="3"/>
  <c r="T1023" i="3"/>
  <c r="T1025" i="3"/>
  <c r="T1026" i="3"/>
  <c r="T1027" i="3"/>
  <c r="T1028" i="3"/>
  <c r="T1029" i="3"/>
  <c r="T1030" i="3"/>
  <c r="T1031" i="3"/>
  <c r="T1032" i="3"/>
  <c r="T1033" i="3"/>
  <c r="T1034" i="3"/>
  <c r="T1037" i="3"/>
  <c r="T1038" i="3"/>
  <c r="T1040" i="3"/>
  <c r="T1041" i="3"/>
  <c r="T1042" i="3"/>
  <c r="T1043" i="3"/>
  <c r="T1044" i="3"/>
  <c r="T1045" i="3"/>
  <c r="T1046" i="3"/>
  <c r="T1047" i="3"/>
  <c r="T1049" i="3"/>
  <c r="T1050" i="3"/>
  <c r="T1051" i="3"/>
  <c r="T1053" i="3"/>
  <c r="T1054" i="3"/>
  <c r="T1056" i="3"/>
  <c r="T1057" i="3"/>
  <c r="T1059" i="3"/>
  <c r="T1061" i="3"/>
  <c r="T1063" i="3"/>
  <c r="T1064" i="3"/>
  <c r="T1066" i="3"/>
  <c r="T1068" i="3"/>
  <c r="T1070" i="3"/>
  <c r="T1071" i="3"/>
  <c r="T1072" i="3"/>
  <c r="T1073" i="3"/>
  <c r="T1074" i="3"/>
  <c r="T1075" i="3"/>
  <c r="T1076" i="3"/>
  <c r="T1078" i="3"/>
  <c r="T1079" i="3"/>
  <c r="T1081" i="3"/>
  <c r="T1083" i="3"/>
  <c r="T1085" i="3"/>
  <c r="T1087" i="3"/>
  <c r="T1089" i="3"/>
  <c r="T1090" i="3"/>
  <c r="T1092" i="3"/>
  <c r="T1094" i="3"/>
  <c r="T1096" i="3"/>
  <c r="T1098" i="3"/>
  <c r="T1099" i="3"/>
  <c r="T1100" i="3"/>
  <c r="T1101" i="3"/>
  <c r="T1102" i="3"/>
  <c r="T1103" i="3"/>
  <c r="U1103" i="3" s="1"/>
  <c r="T1105" i="3"/>
  <c r="T1106" i="3"/>
  <c r="T1108" i="3"/>
  <c r="T1109" i="3"/>
  <c r="T1110" i="3"/>
  <c r="T1112" i="3"/>
  <c r="T1113" i="3"/>
  <c r="T1115" i="3"/>
  <c r="T1117" i="3"/>
  <c r="T1118" i="3"/>
  <c r="T1119" i="3"/>
  <c r="T1121" i="3"/>
  <c r="T1123" i="3"/>
  <c r="T1125" i="3"/>
  <c r="T1127" i="3"/>
  <c r="T1129" i="3"/>
  <c r="T1131" i="3"/>
  <c r="T1133" i="3"/>
  <c r="T1134" i="3"/>
  <c r="T1135" i="3"/>
  <c r="T1137" i="3"/>
  <c r="T1139" i="3"/>
  <c r="T1141" i="3"/>
  <c r="T1143" i="3"/>
  <c r="T1144" i="3"/>
  <c r="T1145" i="3"/>
  <c r="T1147" i="3"/>
  <c r="T1149" i="3"/>
  <c r="T1151" i="3"/>
  <c r="T1153" i="3"/>
  <c r="T1154" i="3"/>
  <c r="T1156" i="3"/>
  <c r="T1157" i="3"/>
  <c r="T1159" i="3"/>
  <c r="T1160" i="3"/>
  <c r="T1161" i="3"/>
  <c r="T1163" i="3"/>
  <c r="T1164" i="3"/>
  <c r="T1165" i="3"/>
  <c r="T1166" i="3"/>
  <c r="T1168" i="3"/>
  <c r="T1169" i="3"/>
  <c r="T1171" i="3"/>
  <c r="T1173" i="3"/>
  <c r="T1175" i="3"/>
  <c r="T1176" i="3"/>
  <c r="T1178" i="3"/>
  <c r="T1179" i="3"/>
  <c r="T1180" i="3"/>
  <c r="T1182" i="3"/>
  <c r="T1184" i="3"/>
  <c r="T1186" i="3"/>
  <c r="T1188" i="3"/>
  <c r="T1189" i="3"/>
  <c r="T1190" i="3"/>
  <c r="T1192" i="3"/>
  <c r="E925" i="7"/>
  <c r="F925" i="7"/>
  <c r="G925" i="7"/>
  <c r="H925" i="7"/>
  <c r="I925" i="7"/>
  <c r="J925" i="7"/>
  <c r="K925" i="7"/>
  <c r="L925" i="7"/>
  <c r="M925" i="7"/>
  <c r="N925" i="7"/>
  <c r="O925" i="7"/>
  <c r="P925" i="7"/>
  <c r="Q925" i="7"/>
  <c r="R925" i="7"/>
  <c r="S925" i="7"/>
  <c r="T925" i="7"/>
  <c r="U925" i="7"/>
  <c r="V925" i="7"/>
  <c r="W925" i="7"/>
  <c r="X925" i="7"/>
  <c r="Y925" i="7"/>
  <c r="Z925" i="7"/>
  <c r="AA925" i="7"/>
  <c r="AB925" i="7"/>
  <c r="AD925" i="7"/>
  <c r="AE925" i="7"/>
  <c r="E923" i="7"/>
  <c r="F923" i="7"/>
  <c r="G923" i="7"/>
  <c r="H923" i="7"/>
  <c r="I923" i="7"/>
  <c r="J923" i="7"/>
  <c r="K923" i="7"/>
  <c r="L923" i="7"/>
  <c r="M923" i="7"/>
  <c r="N923" i="7"/>
  <c r="O923" i="7"/>
  <c r="P923" i="7"/>
  <c r="Q923" i="7"/>
  <c r="R923" i="7"/>
  <c r="S923" i="7"/>
  <c r="T923" i="7"/>
  <c r="U923" i="7"/>
  <c r="V923" i="7"/>
  <c r="W923" i="7"/>
  <c r="X923" i="7"/>
  <c r="Y923" i="7"/>
  <c r="Z923" i="7"/>
  <c r="AA923" i="7"/>
  <c r="AB923" i="7"/>
  <c r="AD923" i="7"/>
  <c r="AE923" i="7"/>
  <c r="E920" i="7"/>
  <c r="F920" i="7"/>
  <c r="G920" i="7"/>
  <c r="H920" i="7"/>
  <c r="I920" i="7"/>
  <c r="J920" i="7"/>
  <c r="K920" i="7"/>
  <c r="L920" i="7"/>
  <c r="M920" i="7"/>
  <c r="N920" i="7"/>
  <c r="O920" i="7"/>
  <c r="P920" i="7"/>
  <c r="Q920" i="7"/>
  <c r="R920" i="7"/>
  <c r="S920" i="7"/>
  <c r="T920" i="7"/>
  <c r="U920" i="7"/>
  <c r="V920" i="7"/>
  <c r="W920" i="7"/>
  <c r="X920" i="7"/>
  <c r="Y920" i="7"/>
  <c r="Z920" i="7"/>
  <c r="AA920" i="7"/>
  <c r="AB920" i="7"/>
  <c r="AD920" i="7"/>
  <c r="AE920" i="7"/>
  <c r="E918" i="7"/>
  <c r="F918" i="7"/>
  <c r="G918" i="7"/>
  <c r="H918" i="7"/>
  <c r="I918" i="7"/>
  <c r="J918" i="7"/>
  <c r="K918" i="7"/>
  <c r="L918" i="7"/>
  <c r="M918" i="7"/>
  <c r="N918" i="7"/>
  <c r="O918" i="7"/>
  <c r="P918" i="7"/>
  <c r="Q918" i="7"/>
  <c r="R918" i="7"/>
  <c r="S918" i="7"/>
  <c r="T918" i="7"/>
  <c r="U918" i="7"/>
  <c r="V918" i="7"/>
  <c r="W918" i="7"/>
  <c r="X918" i="7"/>
  <c r="Y918" i="7"/>
  <c r="Z918" i="7"/>
  <c r="AA918" i="7"/>
  <c r="AB918" i="7"/>
  <c r="AD918" i="7"/>
  <c r="AE918" i="7"/>
  <c r="E914" i="7"/>
  <c r="F914" i="7"/>
  <c r="G914" i="7"/>
  <c r="H914" i="7"/>
  <c r="I914" i="7"/>
  <c r="J914" i="7"/>
  <c r="K914" i="7"/>
  <c r="L914" i="7"/>
  <c r="M914" i="7"/>
  <c r="O914" i="7"/>
  <c r="P914" i="7"/>
  <c r="Q914" i="7"/>
  <c r="R914" i="7"/>
  <c r="S914" i="7"/>
  <c r="T914" i="7"/>
  <c r="U914" i="7"/>
  <c r="V914" i="7"/>
  <c r="W914" i="7"/>
  <c r="X914" i="7"/>
  <c r="Y914" i="7"/>
  <c r="Z914" i="7"/>
  <c r="AA914" i="7"/>
  <c r="AB914" i="7"/>
  <c r="AD914" i="7"/>
  <c r="AE914" i="7"/>
  <c r="E912" i="7"/>
  <c r="F912" i="7"/>
  <c r="G912" i="7"/>
  <c r="H912" i="7"/>
  <c r="I912" i="7"/>
  <c r="J912" i="7"/>
  <c r="K912" i="7"/>
  <c r="L912" i="7"/>
  <c r="M912" i="7"/>
  <c r="N912" i="7"/>
  <c r="O912" i="7"/>
  <c r="P912" i="7"/>
  <c r="Q912" i="7"/>
  <c r="R912" i="7"/>
  <c r="S912" i="7"/>
  <c r="T912" i="7"/>
  <c r="U912" i="7"/>
  <c r="V912" i="7"/>
  <c r="W912" i="7"/>
  <c r="X912" i="7"/>
  <c r="Y912" i="7"/>
  <c r="Z912" i="7"/>
  <c r="AA912" i="7"/>
  <c r="AB912" i="7"/>
  <c r="AD912" i="7"/>
  <c r="AE912" i="7"/>
  <c r="AB910" i="7"/>
  <c r="AD910" i="7"/>
  <c r="AE910" i="7"/>
  <c r="E910" i="7"/>
  <c r="F910" i="7"/>
  <c r="G910" i="7"/>
  <c r="H910" i="7"/>
  <c r="I910" i="7"/>
  <c r="J910" i="7"/>
  <c r="K910" i="7"/>
  <c r="L910" i="7"/>
  <c r="M910" i="7"/>
  <c r="N910" i="7"/>
  <c r="O910" i="7"/>
  <c r="P910" i="7"/>
  <c r="Q910" i="7"/>
  <c r="R910" i="7"/>
  <c r="S910" i="7"/>
  <c r="T910" i="7"/>
  <c r="U910" i="7"/>
  <c r="V910" i="7"/>
  <c r="W910" i="7"/>
  <c r="X910" i="7"/>
  <c r="Y910" i="7"/>
  <c r="Z910" i="7"/>
  <c r="AA910" i="7"/>
  <c r="E908" i="7"/>
  <c r="F908" i="7"/>
  <c r="G908" i="7"/>
  <c r="H908" i="7"/>
  <c r="I908" i="7"/>
  <c r="J908" i="7"/>
  <c r="K908" i="7"/>
  <c r="L908" i="7"/>
  <c r="M908" i="7"/>
  <c r="N908" i="7"/>
  <c r="O908" i="7"/>
  <c r="P908" i="7"/>
  <c r="Q908" i="7"/>
  <c r="R908" i="7"/>
  <c r="S908" i="7"/>
  <c r="T908" i="7"/>
  <c r="U908" i="7"/>
  <c r="V908" i="7"/>
  <c r="W908" i="7"/>
  <c r="X908" i="7"/>
  <c r="Y908" i="7"/>
  <c r="Z908" i="7"/>
  <c r="AA908" i="7"/>
  <c r="AB908" i="7"/>
  <c r="AD908" i="7"/>
  <c r="AE908" i="7"/>
  <c r="E905" i="7"/>
  <c r="F905" i="7"/>
  <c r="G905" i="7"/>
  <c r="H905" i="7"/>
  <c r="I905" i="7"/>
  <c r="J905" i="7"/>
  <c r="K905" i="7"/>
  <c r="L905" i="7"/>
  <c r="M905" i="7"/>
  <c r="N905" i="7"/>
  <c r="O905" i="7"/>
  <c r="P905" i="7"/>
  <c r="Q905" i="7"/>
  <c r="R905" i="7"/>
  <c r="S905" i="7"/>
  <c r="T905" i="7"/>
  <c r="U905" i="7"/>
  <c r="V905" i="7"/>
  <c r="W905" i="7"/>
  <c r="X905" i="7"/>
  <c r="Y905" i="7"/>
  <c r="Z905" i="7"/>
  <c r="AA905" i="7"/>
  <c r="AB905" i="7"/>
  <c r="AD905" i="7"/>
  <c r="AE905" i="7"/>
  <c r="E901" i="7"/>
  <c r="F901" i="7"/>
  <c r="G901" i="7"/>
  <c r="H901" i="7"/>
  <c r="I901" i="7"/>
  <c r="J901" i="7"/>
  <c r="K901" i="7"/>
  <c r="L901" i="7"/>
  <c r="M901" i="7"/>
  <c r="N901" i="7"/>
  <c r="O901" i="7"/>
  <c r="P901" i="7"/>
  <c r="Q901" i="7"/>
  <c r="R901" i="7"/>
  <c r="S901" i="7"/>
  <c r="T901" i="7"/>
  <c r="U901" i="7"/>
  <c r="V901" i="7"/>
  <c r="W901" i="7"/>
  <c r="X901" i="7"/>
  <c r="Y901" i="7"/>
  <c r="Z901" i="7"/>
  <c r="AA901" i="7"/>
  <c r="AB901" i="7"/>
  <c r="AD901" i="7"/>
  <c r="AE901" i="7"/>
  <c r="E899" i="7"/>
  <c r="F899" i="7"/>
  <c r="G899" i="7"/>
  <c r="H899" i="7"/>
  <c r="I899" i="7"/>
  <c r="J899" i="7"/>
  <c r="K899" i="7"/>
  <c r="L899" i="7"/>
  <c r="M899" i="7"/>
  <c r="N899" i="7"/>
  <c r="O899" i="7"/>
  <c r="P899" i="7"/>
  <c r="Q899" i="7"/>
  <c r="R899" i="7"/>
  <c r="S899" i="7"/>
  <c r="T899" i="7"/>
  <c r="U899" i="7"/>
  <c r="V899" i="7"/>
  <c r="W899" i="7"/>
  <c r="X899" i="7"/>
  <c r="Y899" i="7"/>
  <c r="Z899" i="7"/>
  <c r="AA899" i="7"/>
  <c r="AB899" i="7"/>
  <c r="AD899" i="7"/>
  <c r="AE899" i="7"/>
  <c r="E897" i="7"/>
  <c r="F897" i="7"/>
  <c r="G897" i="7"/>
  <c r="H897" i="7"/>
  <c r="I897" i="7"/>
  <c r="J897" i="7"/>
  <c r="K897" i="7"/>
  <c r="L897" i="7"/>
  <c r="M897" i="7"/>
  <c r="N897" i="7"/>
  <c r="O897" i="7"/>
  <c r="P897" i="7"/>
  <c r="Q897" i="7"/>
  <c r="R897" i="7"/>
  <c r="S897" i="7"/>
  <c r="T897" i="7"/>
  <c r="U897" i="7"/>
  <c r="V897" i="7"/>
  <c r="W897" i="7"/>
  <c r="X897" i="7"/>
  <c r="Y897" i="7"/>
  <c r="Z897" i="7"/>
  <c r="AA897" i="7"/>
  <c r="AB897" i="7"/>
  <c r="AD897" i="7"/>
  <c r="AE897" i="7"/>
  <c r="E895" i="7"/>
  <c r="F895" i="7"/>
  <c r="G895" i="7"/>
  <c r="H895" i="7"/>
  <c r="I895" i="7"/>
  <c r="J895" i="7"/>
  <c r="K895" i="7"/>
  <c r="L895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D895" i="7"/>
  <c r="AE895" i="7"/>
  <c r="E893" i="7"/>
  <c r="F893" i="7"/>
  <c r="G893" i="7"/>
  <c r="H893" i="7"/>
  <c r="I893" i="7"/>
  <c r="J893" i="7"/>
  <c r="K893" i="7"/>
  <c r="L893" i="7"/>
  <c r="M893" i="7"/>
  <c r="O893" i="7"/>
  <c r="P893" i="7"/>
  <c r="Q893" i="7"/>
  <c r="R893" i="7"/>
  <c r="S893" i="7"/>
  <c r="T893" i="7"/>
  <c r="U893" i="7"/>
  <c r="V893" i="7"/>
  <c r="W893" i="7"/>
  <c r="X893" i="7"/>
  <c r="Y893" i="7"/>
  <c r="Z893" i="7"/>
  <c r="AA893" i="7"/>
  <c r="AB893" i="7"/>
  <c r="AD893" i="7"/>
  <c r="AE893" i="7"/>
  <c r="E891" i="7"/>
  <c r="F891" i="7"/>
  <c r="G891" i="7"/>
  <c r="H891" i="7"/>
  <c r="I891" i="7"/>
  <c r="J891" i="7"/>
  <c r="K891" i="7"/>
  <c r="L891" i="7"/>
  <c r="M891" i="7"/>
  <c r="N891" i="7"/>
  <c r="O891" i="7"/>
  <c r="P891" i="7"/>
  <c r="Q891" i="7"/>
  <c r="R891" i="7"/>
  <c r="S891" i="7"/>
  <c r="T891" i="7"/>
  <c r="U891" i="7"/>
  <c r="V891" i="7"/>
  <c r="W891" i="7"/>
  <c r="X891" i="7"/>
  <c r="Y891" i="7"/>
  <c r="Z891" i="7"/>
  <c r="AA891" i="7"/>
  <c r="AB891" i="7"/>
  <c r="AD891" i="7"/>
  <c r="AE891" i="7"/>
  <c r="E888" i="7"/>
  <c r="F888" i="7"/>
  <c r="G888" i="7"/>
  <c r="H888" i="7"/>
  <c r="I888" i="7"/>
  <c r="J888" i="7"/>
  <c r="K888" i="7"/>
  <c r="L888" i="7"/>
  <c r="M888" i="7"/>
  <c r="N888" i="7"/>
  <c r="O888" i="7"/>
  <c r="P888" i="7"/>
  <c r="Q888" i="7"/>
  <c r="R888" i="7"/>
  <c r="S888" i="7"/>
  <c r="T888" i="7"/>
  <c r="U888" i="7"/>
  <c r="V888" i="7"/>
  <c r="W888" i="7"/>
  <c r="X888" i="7"/>
  <c r="Y888" i="7"/>
  <c r="Z888" i="7"/>
  <c r="AA888" i="7"/>
  <c r="AB888" i="7"/>
  <c r="AD888" i="7"/>
  <c r="AE888" i="7"/>
  <c r="E882" i="7"/>
  <c r="F882" i="7"/>
  <c r="G882" i="7"/>
  <c r="H882" i="7"/>
  <c r="I882" i="7"/>
  <c r="J882" i="7"/>
  <c r="K882" i="7"/>
  <c r="L882" i="7"/>
  <c r="M882" i="7"/>
  <c r="N882" i="7"/>
  <c r="O882" i="7"/>
  <c r="P882" i="7"/>
  <c r="Q882" i="7"/>
  <c r="R882" i="7"/>
  <c r="S882" i="7"/>
  <c r="T882" i="7"/>
  <c r="U882" i="7"/>
  <c r="V882" i="7"/>
  <c r="W882" i="7"/>
  <c r="X882" i="7"/>
  <c r="Y882" i="7"/>
  <c r="Z882" i="7"/>
  <c r="AA882" i="7"/>
  <c r="AB882" i="7"/>
  <c r="AD882" i="7"/>
  <c r="AE882" i="7"/>
  <c r="E880" i="7"/>
  <c r="F880" i="7"/>
  <c r="G880" i="7"/>
  <c r="H880" i="7"/>
  <c r="I880" i="7"/>
  <c r="J880" i="7"/>
  <c r="K880" i="7"/>
  <c r="L880" i="7"/>
  <c r="M880" i="7"/>
  <c r="N880" i="7"/>
  <c r="O880" i="7"/>
  <c r="P880" i="7"/>
  <c r="Q880" i="7"/>
  <c r="R880" i="7"/>
  <c r="S880" i="7"/>
  <c r="T880" i="7"/>
  <c r="U880" i="7"/>
  <c r="V880" i="7"/>
  <c r="W880" i="7"/>
  <c r="X880" i="7"/>
  <c r="Y880" i="7"/>
  <c r="Z880" i="7"/>
  <c r="AA880" i="7"/>
  <c r="AB880" i="7"/>
  <c r="AD880" i="7"/>
  <c r="AE880" i="7"/>
  <c r="E878" i="7"/>
  <c r="F878" i="7"/>
  <c r="G878" i="7"/>
  <c r="H878" i="7"/>
  <c r="I878" i="7"/>
  <c r="J878" i="7"/>
  <c r="K878" i="7"/>
  <c r="L878" i="7"/>
  <c r="M878" i="7"/>
  <c r="N878" i="7"/>
  <c r="O878" i="7"/>
  <c r="P878" i="7"/>
  <c r="Q878" i="7"/>
  <c r="R878" i="7"/>
  <c r="S878" i="7"/>
  <c r="T878" i="7"/>
  <c r="U878" i="7"/>
  <c r="V878" i="7"/>
  <c r="W878" i="7"/>
  <c r="X878" i="7"/>
  <c r="Y878" i="7"/>
  <c r="Z878" i="7"/>
  <c r="AA878" i="7"/>
  <c r="AB878" i="7"/>
  <c r="AD878" i="7"/>
  <c r="AE878" i="7"/>
  <c r="E872" i="7"/>
  <c r="F872" i="7"/>
  <c r="G872" i="7"/>
  <c r="H872" i="7"/>
  <c r="I872" i="7"/>
  <c r="J872" i="7"/>
  <c r="K872" i="7"/>
  <c r="L872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D872" i="7"/>
  <c r="AE872" i="7"/>
  <c r="E870" i="7"/>
  <c r="F870" i="7"/>
  <c r="G870" i="7"/>
  <c r="H870" i="7"/>
  <c r="I870" i="7"/>
  <c r="J870" i="7"/>
  <c r="K870" i="7"/>
  <c r="L870" i="7"/>
  <c r="M870" i="7"/>
  <c r="N870" i="7"/>
  <c r="O870" i="7"/>
  <c r="P870" i="7"/>
  <c r="Q870" i="7"/>
  <c r="R870" i="7"/>
  <c r="S870" i="7"/>
  <c r="T870" i="7"/>
  <c r="U870" i="7"/>
  <c r="V870" i="7"/>
  <c r="W870" i="7"/>
  <c r="X870" i="7"/>
  <c r="Y870" i="7"/>
  <c r="Z870" i="7"/>
  <c r="AA870" i="7"/>
  <c r="AB870" i="7"/>
  <c r="AD870" i="7"/>
  <c r="AE870" i="7"/>
  <c r="E868" i="7"/>
  <c r="F868" i="7"/>
  <c r="G868" i="7"/>
  <c r="H868" i="7"/>
  <c r="I868" i="7"/>
  <c r="J868" i="7"/>
  <c r="K868" i="7"/>
  <c r="L868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D868" i="7"/>
  <c r="AE868" i="7"/>
  <c r="E866" i="7"/>
  <c r="F866" i="7"/>
  <c r="G866" i="7"/>
  <c r="H866" i="7"/>
  <c r="I866" i="7"/>
  <c r="J866" i="7"/>
  <c r="K866" i="7"/>
  <c r="L866" i="7"/>
  <c r="M866" i="7"/>
  <c r="N866" i="7"/>
  <c r="O866" i="7"/>
  <c r="P866" i="7"/>
  <c r="Q866" i="7"/>
  <c r="R866" i="7"/>
  <c r="S866" i="7"/>
  <c r="T866" i="7"/>
  <c r="U866" i="7"/>
  <c r="V866" i="7"/>
  <c r="W866" i="7"/>
  <c r="X866" i="7"/>
  <c r="Y866" i="7"/>
  <c r="Z866" i="7"/>
  <c r="AA866" i="7"/>
  <c r="AB866" i="7"/>
  <c r="AD866" i="7"/>
  <c r="AE866" i="7"/>
  <c r="E864" i="7"/>
  <c r="F864" i="7"/>
  <c r="G864" i="7"/>
  <c r="H864" i="7"/>
  <c r="I864" i="7"/>
  <c r="J864" i="7"/>
  <c r="K864" i="7"/>
  <c r="L864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D864" i="7"/>
  <c r="AE864" i="7"/>
  <c r="E862" i="7"/>
  <c r="F862" i="7"/>
  <c r="G862" i="7"/>
  <c r="H862" i="7"/>
  <c r="I862" i="7"/>
  <c r="J862" i="7"/>
  <c r="K862" i="7"/>
  <c r="L862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D862" i="7"/>
  <c r="AE862" i="7"/>
  <c r="E860" i="7"/>
  <c r="F860" i="7"/>
  <c r="G860" i="7"/>
  <c r="H860" i="7"/>
  <c r="I860" i="7"/>
  <c r="J860" i="7"/>
  <c r="K860" i="7"/>
  <c r="L860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D860" i="7"/>
  <c r="AE860" i="7"/>
  <c r="E857" i="7"/>
  <c r="F857" i="7"/>
  <c r="G857" i="7"/>
  <c r="H857" i="7"/>
  <c r="I857" i="7"/>
  <c r="J857" i="7"/>
  <c r="K857" i="7"/>
  <c r="L857" i="7"/>
  <c r="M857" i="7"/>
  <c r="N857" i="7"/>
  <c r="O857" i="7"/>
  <c r="P857" i="7"/>
  <c r="Q857" i="7"/>
  <c r="R857" i="7"/>
  <c r="S857" i="7"/>
  <c r="T857" i="7"/>
  <c r="U857" i="7"/>
  <c r="V857" i="7"/>
  <c r="W857" i="7"/>
  <c r="X857" i="7"/>
  <c r="Y857" i="7"/>
  <c r="Z857" i="7"/>
  <c r="AA857" i="7"/>
  <c r="AB857" i="7"/>
  <c r="AD857" i="7"/>
  <c r="AE857" i="7"/>
  <c r="E852" i="7"/>
  <c r="F852" i="7"/>
  <c r="G852" i="7"/>
  <c r="H852" i="7"/>
  <c r="I852" i="7"/>
  <c r="J852" i="7"/>
  <c r="K852" i="7"/>
  <c r="L852" i="7"/>
  <c r="M852" i="7"/>
  <c r="N852" i="7"/>
  <c r="O852" i="7"/>
  <c r="P852" i="7"/>
  <c r="Q852" i="7"/>
  <c r="R852" i="7"/>
  <c r="S852" i="7"/>
  <c r="T852" i="7"/>
  <c r="U852" i="7"/>
  <c r="V852" i="7"/>
  <c r="W852" i="7"/>
  <c r="X852" i="7"/>
  <c r="Y852" i="7"/>
  <c r="Z852" i="7"/>
  <c r="AA852" i="7"/>
  <c r="AB852" i="7"/>
  <c r="AD852" i="7"/>
  <c r="AE852" i="7"/>
  <c r="E850" i="7"/>
  <c r="F850" i="7"/>
  <c r="G850" i="7"/>
  <c r="H850" i="7"/>
  <c r="I850" i="7"/>
  <c r="J850" i="7"/>
  <c r="K850" i="7"/>
  <c r="L850" i="7"/>
  <c r="M850" i="7"/>
  <c r="N850" i="7"/>
  <c r="O850" i="7"/>
  <c r="P850" i="7"/>
  <c r="Q850" i="7"/>
  <c r="R850" i="7"/>
  <c r="S850" i="7"/>
  <c r="T850" i="7"/>
  <c r="U850" i="7"/>
  <c r="V850" i="7"/>
  <c r="W850" i="7"/>
  <c r="X850" i="7"/>
  <c r="Y850" i="7"/>
  <c r="Z850" i="7"/>
  <c r="AA850" i="7"/>
  <c r="AB850" i="7"/>
  <c r="AD850" i="7"/>
  <c r="AE850" i="7"/>
  <c r="E848" i="7"/>
  <c r="F848" i="7"/>
  <c r="G848" i="7"/>
  <c r="H848" i="7"/>
  <c r="I848" i="7"/>
  <c r="J848" i="7"/>
  <c r="K848" i="7"/>
  <c r="L848" i="7"/>
  <c r="M848" i="7"/>
  <c r="N848" i="7"/>
  <c r="O848" i="7"/>
  <c r="P848" i="7"/>
  <c r="Q848" i="7"/>
  <c r="R848" i="7"/>
  <c r="S848" i="7"/>
  <c r="T848" i="7"/>
  <c r="U848" i="7"/>
  <c r="V848" i="7"/>
  <c r="W848" i="7"/>
  <c r="X848" i="7"/>
  <c r="Y848" i="7"/>
  <c r="Z848" i="7"/>
  <c r="AA848" i="7"/>
  <c r="AB848" i="7"/>
  <c r="AD848" i="7"/>
  <c r="AE848" i="7"/>
  <c r="E845" i="7"/>
  <c r="F845" i="7"/>
  <c r="G845" i="7"/>
  <c r="H845" i="7"/>
  <c r="I845" i="7"/>
  <c r="J845" i="7"/>
  <c r="K845" i="7"/>
  <c r="L845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D845" i="7"/>
  <c r="AE845" i="7"/>
  <c r="E843" i="7"/>
  <c r="F843" i="7"/>
  <c r="G843" i="7"/>
  <c r="H843" i="7"/>
  <c r="I843" i="7"/>
  <c r="J843" i="7"/>
  <c r="K843" i="7"/>
  <c r="L843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D843" i="7"/>
  <c r="AE843" i="7"/>
  <c r="E834" i="7"/>
  <c r="F834" i="7"/>
  <c r="G834" i="7"/>
  <c r="H834" i="7"/>
  <c r="I834" i="7"/>
  <c r="J834" i="7"/>
  <c r="K834" i="7"/>
  <c r="L834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D834" i="7"/>
  <c r="AE834" i="7"/>
  <c r="E832" i="7"/>
  <c r="F832" i="7"/>
  <c r="G832" i="7"/>
  <c r="H832" i="7"/>
  <c r="I832" i="7"/>
  <c r="J832" i="7"/>
  <c r="K832" i="7"/>
  <c r="L832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D832" i="7"/>
  <c r="AE832" i="7"/>
  <c r="E830" i="7"/>
  <c r="F830" i="7"/>
  <c r="G830" i="7"/>
  <c r="H830" i="7"/>
  <c r="I830" i="7"/>
  <c r="J830" i="7"/>
  <c r="K830" i="7"/>
  <c r="L830" i="7"/>
  <c r="M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D830" i="7"/>
  <c r="AE830" i="7"/>
  <c r="E828" i="7"/>
  <c r="F828" i="7"/>
  <c r="G828" i="7"/>
  <c r="H828" i="7"/>
  <c r="I828" i="7"/>
  <c r="J828" i="7"/>
  <c r="K828" i="7"/>
  <c r="L828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D828" i="7"/>
  <c r="AE828" i="7"/>
  <c r="E826" i="7"/>
  <c r="F826" i="7"/>
  <c r="G826" i="7"/>
  <c r="H826" i="7"/>
  <c r="I826" i="7"/>
  <c r="J826" i="7"/>
  <c r="K826" i="7"/>
  <c r="L826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D826" i="7"/>
  <c r="AE826" i="7"/>
  <c r="E824" i="7"/>
  <c r="F824" i="7"/>
  <c r="G824" i="7"/>
  <c r="H824" i="7"/>
  <c r="I824" i="7"/>
  <c r="J824" i="7"/>
  <c r="K824" i="7"/>
  <c r="L824" i="7"/>
  <c r="M824" i="7"/>
  <c r="N824" i="7"/>
  <c r="O824" i="7"/>
  <c r="P824" i="7"/>
  <c r="Q824" i="7"/>
  <c r="R824" i="7"/>
  <c r="S824" i="7"/>
  <c r="T824" i="7"/>
  <c r="U824" i="7"/>
  <c r="V824" i="7"/>
  <c r="W824" i="7"/>
  <c r="X824" i="7"/>
  <c r="Y824" i="7"/>
  <c r="Z824" i="7"/>
  <c r="AA824" i="7"/>
  <c r="AB824" i="7"/>
  <c r="AD824" i="7"/>
  <c r="AE824" i="7"/>
  <c r="E822" i="7"/>
  <c r="F822" i="7"/>
  <c r="G822" i="7"/>
  <c r="H822" i="7"/>
  <c r="I822" i="7"/>
  <c r="J822" i="7"/>
  <c r="K822" i="7"/>
  <c r="L822" i="7"/>
  <c r="M822" i="7"/>
  <c r="N822" i="7"/>
  <c r="O822" i="7"/>
  <c r="P822" i="7"/>
  <c r="Q822" i="7"/>
  <c r="R822" i="7"/>
  <c r="S822" i="7"/>
  <c r="T822" i="7"/>
  <c r="U822" i="7"/>
  <c r="V822" i="7"/>
  <c r="W822" i="7"/>
  <c r="X822" i="7"/>
  <c r="Y822" i="7"/>
  <c r="Z822" i="7"/>
  <c r="AA822" i="7"/>
  <c r="AB822" i="7"/>
  <c r="AD822" i="7"/>
  <c r="AE822" i="7"/>
  <c r="E820" i="7"/>
  <c r="F820" i="7"/>
  <c r="G820" i="7"/>
  <c r="H820" i="7"/>
  <c r="I820" i="7"/>
  <c r="J820" i="7"/>
  <c r="K820" i="7"/>
  <c r="L820" i="7"/>
  <c r="M820" i="7"/>
  <c r="N820" i="7"/>
  <c r="O820" i="7"/>
  <c r="P820" i="7"/>
  <c r="Q820" i="7"/>
  <c r="R820" i="7"/>
  <c r="S820" i="7"/>
  <c r="T820" i="7"/>
  <c r="U820" i="7"/>
  <c r="V820" i="7"/>
  <c r="W820" i="7"/>
  <c r="X820" i="7"/>
  <c r="Y820" i="7"/>
  <c r="Z820" i="7"/>
  <c r="AA820" i="7"/>
  <c r="AB820" i="7"/>
  <c r="AD820" i="7"/>
  <c r="AE820" i="7"/>
  <c r="E817" i="7"/>
  <c r="F817" i="7"/>
  <c r="G817" i="7"/>
  <c r="H817" i="7"/>
  <c r="I817" i="7"/>
  <c r="J817" i="7"/>
  <c r="K817" i="7"/>
  <c r="L817" i="7"/>
  <c r="M817" i="7"/>
  <c r="N817" i="7"/>
  <c r="O817" i="7"/>
  <c r="P817" i="7"/>
  <c r="Q817" i="7"/>
  <c r="R817" i="7"/>
  <c r="S817" i="7"/>
  <c r="T817" i="7"/>
  <c r="U817" i="7"/>
  <c r="V817" i="7"/>
  <c r="W817" i="7"/>
  <c r="X817" i="7"/>
  <c r="Y817" i="7"/>
  <c r="Z817" i="7"/>
  <c r="AA817" i="7"/>
  <c r="AB817" i="7"/>
  <c r="AD817" i="7"/>
  <c r="AE817" i="7"/>
  <c r="E810" i="7"/>
  <c r="F810" i="7"/>
  <c r="G810" i="7"/>
  <c r="H810" i="7"/>
  <c r="I810" i="7"/>
  <c r="J810" i="7"/>
  <c r="K810" i="7"/>
  <c r="L810" i="7"/>
  <c r="M810" i="7"/>
  <c r="N810" i="7"/>
  <c r="O810" i="7"/>
  <c r="P810" i="7"/>
  <c r="Q810" i="7"/>
  <c r="R810" i="7"/>
  <c r="S810" i="7"/>
  <c r="T810" i="7"/>
  <c r="U810" i="7"/>
  <c r="V810" i="7"/>
  <c r="W810" i="7"/>
  <c r="X810" i="7"/>
  <c r="Y810" i="7"/>
  <c r="Z810" i="7"/>
  <c r="AA810" i="7"/>
  <c r="AB810" i="7"/>
  <c r="AD810" i="7"/>
  <c r="AE810" i="7"/>
  <c r="E808" i="7"/>
  <c r="F808" i="7"/>
  <c r="G808" i="7"/>
  <c r="H808" i="7"/>
  <c r="I808" i="7"/>
  <c r="J808" i="7"/>
  <c r="K808" i="7"/>
  <c r="L808" i="7"/>
  <c r="M808" i="7"/>
  <c r="N808" i="7"/>
  <c r="O808" i="7"/>
  <c r="P808" i="7"/>
  <c r="Q808" i="7"/>
  <c r="R808" i="7"/>
  <c r="S808" i="7"/>
  <c r="T808" i="7"/>
  <c r="U808" i="7"/>
  <c r="V808" i="7"/>
  <c r="W808" i="7"/>
  <c r="X808" i="7"/>
  <c r="Y808" i="7"/>
  <c r="Z808" i="7"/>
  <c r="AA808" i="7"/>
  <c r="AB808" i="7"/>
  <c r="AD808" i="7"/>
  <c r="AE808" i="7"/>
  <c r="E806" i="7"/>
  <c r="F806" i="7"/>
  <c r="G806" i="7"/>
  <c r="H806" i="7"/>
  <c r="I806" i="7"/>
  <c r="J806" i="7"/>
  <c r="K806" i="7"/>
  <c r="L806" i="7"/>
  <c r="M806" i="7"/>
  <c r="N806" i="7"/>
  <c r="O806" i="7"/>
  <c r="P806" i="7"/>
  <c r="Q806" i="7"/>
  <c r="R806" i="7"/>
  <c r="S806" i="7"/>
  <c r="T806" i="7"/>
  <c r="U806" i="7"/>
  <c r="V806" i="7"/>
  <c r="W806" i="7"/>
  <c r="X806" i="7"/>
  <c r="Y806" i="7"/>
  <c r="Z806" i="7"/>
  <c r="AA806" i="7"/>
  <c r="AB806" i="7"/>
  <c r="AD806" i="7"/>
  <c r="AE806" i="7"/>
  <c r="E803" i="7"/>
  <c r="F803" i="7"/>
  <c r="G803" i="7"/>
  <c r="H803" i="7"/>
  <c r="I803" i="7"/>
  <c r="J803" i="7"/>
  <c r="K803" i="7"/>
  <c r="L803" i="7"/>
  <c r="M803" i="7"/>
  <c r="N803" i="7"/>
  <c r="O803" i="7"/>
  <c r="P803" i="7"/>
  <c r="Q803" i="7"/>
  <c r="R803" i="7"/>
  <c r="S803" i="7"/>
  <c r="T803" i="7"/>
  <c r="U803" i="7"/>
  <c r="V803" i="7"/>
  <c r="W803" i="7"/>
  <c r="X803" i="7"/>
  <c r="Y803" i="7"/>
  <c r="Z803" i="7"/>
  <c r="AA803" i="7"/>
  <c r="AB803" i="7"/>
  <c r="AD803" i="7"/>
  <c r="AE803" i="7"/>
  <c r="E801" i="7"/>
  <c r="F801" i="7"/>
  <c r="G801" i="7"/>
  <c r="H801" i="7"/>
  <c r="I801" i="7"/>
  <c r="J801" i="7"/>
  <c r="K801" i="7"/>
  <c r="L801" i="7"/>
  <c r="M801" i="7"/>
  <c r="N801" i="7"/>
  <c r="O801" i="7"/>
  <c r="P801" i="7"/>
  <c r="Q801" i="7"/>
  <c r="R801" i="7"/>
  <c r="S801" i="7"/>
  <c r="T801" i="7"/>
  <c r="U801" i="7"/>
  <c r="V801" i="7"/>
  <c r="W801" i="7"/>
  <c r="X801" i="7"/>
  <c r="Y801" i="7"/>
  <c r="Z801" i="7"/>
  <c r="AA801" i="7"/>
  <c r="AB801" i="7"/>
  <c r="AD801" i="7"/>
  <c r="AE801" i="7"/>
  <c r="E798" i="7"/>
  <c r="F798" i="7"/>
  <c r="G798" i="7"/>
  <c r="H798" i="7"/>
  <c r="I798" i="7"/>
  <c r="J798" i="7"/>
  <c r="K798" i="7"/>
  <c r="L798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D798" i="7"/>
  <c r="AE798" i="7"/>
  <c r="E793" i="7"/>
  <c r="F793" i="7"/>
  <c r="G793" i="7"/>
  <c r="H793" i="7"/>
  <c r="I793" i="7"/>
  <c r="J793" i="7"/>
  <c r="K793" i="7"/>
  <c r="L793" i="7"/>
  <c r="M793" i="7"/>
  <c r="N793" i="7"/>
  <c r="O793" i="7"/>
  <c r="P793" i="7"/>
  <c r="Q793" i="7"/>
  <c r="R793" i="7"/>
  <c r="S793" i="7"/>
  <c r="T793" i="7"/>
  <c r="U793" i="7"/>
  <c r="V793" i="7"/>
  <c r="W793" i="7"/>
  <c r="X793" i="7"/>
  <c r="Y793" i="7"/>
  <c r="Z793" i="7"/>
  <c r="AA793" i="7"/>
  <c r="AB793" i="7"/>
  <c r="AD793" i="7"/>
  <c r="AE793" i="7"/>
  <c r="E790" i="7"/>
  <c r="F790" i="7"/>
  <c r="G790" i="7"/>
  <c r="H790" i="7"/>
  <c r="I790" i="7"/>
  <c r="J790" i="7"/>
  <c r="K790" i="7"/>
  <c r="L790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D790" i="7"/>
  <c r="AE790" i="7"/>
  <c r="E772" i="7"/>
  <c r="F772" i="7"/>
  <c r="G772" i="7"/>
  <c r="H772" i="7"/>
  <c r="I772" i="7"/>
  <c r="J772" i="7"/>
  <c r="K772" i="7"/>
  <c r="L772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D772" i="7"/>
  <c r="AE772" i="7"/>
  <c r="E695" i="7"/>
  <c r="F695" i="7"/>
  <c r="G695" i="7"/>
  <c r="H695" i="7"/>
  <c r="I695" i="7"/>
  <c r="J695" i="7"/>
  <c r="K695" i="7"/>
  <c r="L695" i="7"/>
  <c r="M695" i="7"/>
  <c r="O695" i="7"/>
  <c r="P695" i="7"/>
  <c r="Q695" i="7"/>
  <c r="R695" i="7"/>
  <c r="S695" i="7"/>
  <c r="T695" i="7"/>
  <c r="U695" i="7"/>
  <c r="V695" i="7"/>
  <c r="W695" i="7"/>
  <c r="X695" i="7"/>
  <c r="Y695" i="7"/>
  <c r="Z695" i="7"/>
  <c r="AA695" i="7"/>
  <c r="AB695" i="7"/>
  <c r="AD695" i="7"/>
  <c r="AE695" i="7"/>
  <c r="E566" i="7"/>
  <c r="F566" i="7"/>
  <c r="G566" i="7"/>
  <c r="H566" i="7"/>
  <c r="I566" i="7"/>
  <c r="J566" i="7"/>
  <c r="K566" i="7"/>
  <c r="L566" i="7"/>
  <c r="M566" i="7"/>
  <c r="N566" i="7"/>
  <c r="O566" i="7"/>
  <c r="P566" i="7"/>
  <c r="Q566" i="7"/>
  <c r="R566" i="7"/>
  <c r="S566" i="7"/>
  <c r="T566" i="7"/>
  <c r="U566" i="7"/>
  <c r="V566" i="7"/>
  <c r="W566" i="7"/>
  <c r="X566" i="7"/>
  <c r="Y566" i="7"/>
  <c r="Z566" i="7"/>
  <c r="AA566" i="7"/>
  <c r="AB566" i="7"/>
  <c r="AD566" i="7"/>
  <c r="AE566" i="7"/>
  <c r="B1198" i="7"/>
  <c r="B1196" i="7"/>
  <c r="B1195" i="7"/>
  <c r="B1194" i="7"/>
  <c r="B1192" i="7"/>
  <c r="B1190" i="7"/>
  <c r="B1188" i="7"/>
  <c r="B1186" i="7"/>
  <c r="B1185" i="7"/>
  <c r="B1184" i="7"/>
  <c r="B1182" i="7"/>
  <c r="B1181" i="7"/>
  <c r="B1179" i="7"/>
  <c r="B1177" i="7"/>
  <c r="B1175" i="7"/>
  <c r="B1174" i="7"/>
  <c r="B1172" i="7"/>
  <c r="B1171" i="7"/>
  <c r="B1170" i="7"/>
  <c r="B1169" i="7"/>
  <c r="B1167" i="7"/>
  <c r="B1166" i="7"/>
  <c r="B1165" i="7"/>
  <c r="B1163" i="7"/>
  <c r="B1162" i="7"/>
  <c r="B1160" i="7"/>
  <c r="B1159" i="7"/>
  <c r="B1157" i="7"/>
  <c r="B1155" i="7"/>
  <c r="B1153" i="7"/>
  <c r="B1151" i="7"/>
  <c r="B1150" i="7"/>
  <c r="B1149" i="7"/>
  <c r="B1147" i="7"/>
  <c r="B1145" i="7"/>
  <c r="B1143" i="7"/>
  <c r="B1141" i="7"/>
  <c r="B1140" i="7"/>
  <c r="B1139" i="7"/>
  <c r="B1137" i="7"/>
  <c r="B1135" i="7"/>
  <c r="B1133" i="7"/>
  <c r="B1131" i="7"/>
  <c r="B1129" i="7"/>
  <c r="B1127" i="7"/>
  <c r="B1125" i="7"/>
  <c r="B1124" i="7"/>
  <c r="B1123" i="7"/>
  <c r="B1121" i="7"/>
  <c r="B1119" i="7"/>
  <c r="B1118" i="7"/>
  <c r="B1116" i="7"/>
  <c r="B1115" i="7"/>
  <c r="B1114" i="7"/>
  <c r="B1112" i="7"/>
  <c r="B1111" i="7"/>
  <c r="B1109" i="7"/>
  <c r="B1108" i="7"/>
  <c r="B1107" i="7"/>
  <c r="B1106" i="7"/>
  <c r="B1105" i="7"/>
  <c r="B1104" i="7"/>
  <c r="B1102" i="7"/>
  <c r="B1100" i="7"/>
  <c r="B1098" i="7"/>
  <c r="B1096" i="7"/>
  <c r="B1095" i="7"/>
  <c r="B1093" i="7"/>
  <c r="B1091" i="7"/>
  <c r="B1089" i="7"/>
  <c r="B1087" i="7"/>
  <c r="B1085" i="7"/>
  <c r="B1084" i="7"/>
  <c r="B1082" i="7"/>
  <c r="B1081" i="7"/>
  <c r="B1080" i="7"/>
  <c r="B1079" i="7"/>
  <c r="B1078" i="7"/>
  <c r="B1077" i="7"/>
  <c r="B1076" i="7"/>
  <c r="B1074" i="7"/>
  <c r="B1072" i="7"/>
  <c r="B1070" i="7"/>
  <c r="B1069" i="7"/>
  <c r="B1067" i="7"/>
  <c r="B1065" i="7"/>
  <c r="B1063" i="7"/>
  <c r="B1062" i="7"/>
  <c r="B1060" i="7"/>
  <c r="B1059" i="7"/>
  <c r="B1057" i="7"/>
  <c r="B1056" i="7"/>
  <c r="B1055" i="7"/>
  <c r="B1053" i="7"/>
  <c r="B1052" i="7"/>
  <c r="B1051" i="7"/>
  <c r="B1050" i="7"/>
  <c r="B1049" i="7"/>
  <c r="B1048" i="7"/>
  <c r="B1047" i="7"/>
  <c r="B1046" i="7"/>
  <c r="B1044" i="7"/>
  <c r="B1043" i="7"/>
  <c r="B1033" i="7"/>
  <c r="B1032" i="7"/>
  <c r="B1031" i="7"/>
  <c r="B1029" i="7"/>
  <c r="B1028" i="7"/>
  <c r="B1027" i="7"/>
  <c r="B1026" i="7"/>
  <c r="B1025" i="7"/>
  <c r="B1024" i="7"/>
  <c r="B1023" i="7"/>
  <c r="B1022" i="7"/>
  <c r="B1021" i="7"/>
  <c r="B1020" i="7"/>
  <c r="B1019" i="7"/>
  <c r="B1018" i="7"/>
  <c r="B1017" i="7"/>
  <c r="B1016" i="7"/>
  <c r="B1015" i="7"/>
  <c r="B1014" i="7"/>
  <c r="B1013" i="7"/>
  <c r="B1012" i="7"/>
  <c r="B1011" i="7"/>
  <c r="B1010" i="7"/>
  <c r="B1009" i="7"/>
  <c r="B1008" i="7"/>
  <c r="B1007" i="7"/>
  <c r="B1006" i="7"/>
  <c r="B1005" i="7"/>
  <c r="B1004" i="7"/>
  <c r="B1003" i="7"/>
  <c r="B1001" i="7"/>
  <c r="B1000" i="7"/>
  <c r="B999" i="7"/>
  <c r="B998" i="7"/>
  <c r="B997" i="7"/>
  <c r="B996" i="7"/>
  <c r="B995" i="7"/>
  <c r="B994" i="7"/>
  <c r="B993" i="7"/>
  <c r="B992" i="7"/>
  <c r="B991" i="7"/>
  <c r="B990" i="7"/>
  <c r="B989" i="7"/>
  <c r="B988" i="7"/>
  <c r="B986" i="7"/>
  <c r="B985" i="7"/>
  <c r="B984" i="7"/>
  <c r="B983" i="7"/>
  <c r="B982" i="7"/>
  <c r="B981" i="7"/>
  <c r="B980" i="7"/>
  <c r="B979" i="7"/>
  <c r="B978" i="7"/>
  <c r="B977" i="7"/>
  <c r="B976" i="7"/>
  <c r="B975" i="7"/>
  <c r="B974" i="7"/>
  <c r="B973" i="7"/>
  <c r="B972" i="7"/>
  <c r="B971" i="7"/>
  <c r="B970" i="7"/>
  <c r="B969" i="7"/>
  <c r="B968" i="7"/>
  <c r="B967" i="7"/>
  <c r="B966" i="7"/>
  <c r="B965" i="7"/>
  <c r="B964" i="7"/>
  <c r="B963" i="7"/>
  <c r="B962" i="7"/>
  <c r="B961" i="7"/>
  <c r="B960" i="7"/>
  <c r="B959" i="7"/>
  <c r="B958" i="7"/>
  <c r="B957" i="7"/>
  <c r="B956" i="7"/>
  <c r="B955" i="7"/>
  <c r="B954" i="7"/>
  <c r="B953" i="7"/>
  <c r="B952" i="7"/>
  <c r="B951" i="7"/>
  <c r="B950" i="7"/>
  <c r="B949" i="7"/>
  <c r="B948" i="7"/>
  <c r="B947" i="7"/>
  <c r="B946" i="7"/>
  <c r="B945" i="7"/>
  <c r="B944" i="7"/>
  <c r="B943" i="7"/>
  <c r="B942" i="7"/>
  <c r="B941" i="7"/>
  <c r="B940" i="7"/>
  <c r="B939" i="7"/>
  <c r="B938" i="7"/>
  <c r="B937" i="7"/>
  <c r="B936" i="7"/>
  <c r="B935" i="7"/>
  <c r="B934" i="7"/>
  <c r="B933" i="7"/>
  <c r="B932" i="7"/>
  <c r="B931" i="7"/>
  <c r="B930" i="7"/>
  <c r="B926" i="7"/>
  <c r="B924" i="7"/>
  <c r="B922" i="7"/>
  <c r="B921" i="7"/>
  <c r="B919" i="7"/>
  <c r="B917" i="7"/>
  <c r="B916" i="7"/>
  <c r="B915" i="7"/>
  <c r="B913" i="7"/>
  <c r="B911" i="7"/>
  <c r="B909" i="7"/>
  <c r="B907" i="7"/>
  <c r="B906" i="7"/>
  <c r="B904" i="7"/>
  <c r="B903" i="7"/>
  <c r="B902" i="7"/>
  <c r="B900" i="7"/>
  <c r="B898" i="7"/>
  <c r="B896" i="7"/>
  <c r="B894" i="7"/>
  <c r="B892" i="7"/>
  <c r="B890" i="7"/>
  <c r="B889" i="7"/>
  <c r="B887" i="7"/>
  <c r="B886" i="7"/>
  <c r="B885" i="7"/>
  <c r="B884" i="7"/>
  <c r="B883" i="7"/>
  <c r="B881" i="7"/>
  <c r="B879" i="7"/>
  <c r="B876" i="7"/>
  <c r="B875" i="7"/>
  <c r="B873" i="7"/>
  <c r="B871" i="7"/>
  <c r="B869" i="7"/>
  <c r="B867" i="7"/>
  <c r="B865" i="7"/>
  <c r="B863" i="7"/>
  <c r="B861" i="7"/>
  <c r="B859" i="7"/>
  <c r="B858" i="7"/>
  <c r="B856" i="7"/>
  <c r="B855" i="7"/>
  <c r="B854" i="7"/>
  <c r="B853" i="7"/>
  <c r="B851" i="7"/>
  <c r="B849" i="7"/>
  <c r="B847" i="7"/>
  <c r="B846" i="7"/>
  <c r="B844" i="7"/>
  <c r="B842" i="7"/>
  <c r="B841" i="7"/>
  <c r="B840" i="7"/>
  <c r="B839" i="7"/>
  <c r="B838" i="7"/>
  <c r="B837" i="7"/>
  <c r="B836" i="7"/>
  <c r="B835" i="7"/>
  <c r="B833" i="7"/>
  <c r="B831" i="7"/>
  <c r="B829" i="7"/>
  <c r="B827" i="7"/>
  <c r="B825" i="7"/>
  <c r="B823" i="7"/>
  <c r="B821" i="7"/>
  <c r="B819" i="7"/>
  <c r="B818" i="7"/>
  <c r="B816" i="7"/>
  <c r="B815" i="7"/>
  <c r="B814" i="7"/>
  <c r="B813" i="7"/>
  <c r="B812" i="7"/>
  <c r="B811" i="7"/>
  <c r="B809" i="7"/>
  <c r="B807" i="7"/>
  <c r="B805" i="7"/>
  <c r="B804" i="7"/>
  <c r="B802" i="7"/>
  <c r="B800" i="7"/>
  <c r="B799" i="7"/>
  <c r="B797" i="7"/>
  <c r="B796" i="7"/>
  <c r="B795" i="7"/>
  <c r="B794" i="7"/>
  <c r="B792" i="7"/>
  <c r="B791" i="7"/>
  <c r="B788" i="7"/>
  <c r="B787" i="7"/>
  <c r="B786" i="7"/>
  <c r="B785" i="7"/>
  <c r="B784" i="7"/>
  <c r="B783" i="7"/>
  <c r="B782" i="7"/>
  <c r="B781" i="7"/>
  <c r="B780" i="7"/>
  <c r="B779" i="7"/>
  <c r="B778" i="7"/>
  <c r="B777" i="7"/>
  <c r="B775" i="7"/>
  <c r="B774" i="7"/>
  <c r="B773" i="7"/>
  <c r="B754" i="7"/>
  <c r="B753" i="7"/>
  <c r="B752" i="7"/>
  <c r="B750" i="7"/>
  <c r="B749" i="7"/>
  <c r="B748" i="7"/>
  <c r="B747" i="7"/>
  <c r="B746" i="7"/>
  <c r="B745" i="7"/>
  <c r="B744" i="7"/>
  <c r="B743" i="7"/>
  <c r="B742" i="7"/>
  <c r="B741" i="7"/>
  <c r="B740" i="7"/>
  <c r="B739" i="7"/>
  <c r="B738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7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1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8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4" i="7"/>
  <c r="B562" i="7"/>
  <c r="B561" i="7"/>
  <c r="B560" i="7"/>
  <c r="B558" i="7"/>
  <c r="B557" i="7"/>
  <c r="B556" i="7"/>
  <c r="B555" i="7"/>
  <c r="B554" i="7"/>
  <c r="B552" i="7"/>
  <c r="B551" i="7"/>
  <c r="B550" i="7"/>
  <c r="B549" i="7"/>
  <c r="B548" i="7"/>
  <c r="B547" i="7"/>
  <c r="B546" i="7"/>
  <c r="B545" i="7"/>
  <c r="B543" i="7"/>
  <c r="B541" i="7"/>
  <c r="B540" i="7"/>
  <c r="B538" i="7"/>
  <c r="B536" i="7"/>
  <c r="B535" i="7"/>
  <c r="B534" i="7"/>
  <c r="B533" i="7"/>
  <c r="B532" i="7"/>
  <c r="B531" i="7"/>
  <c r="B529" i="7"/>
  <c r="B527" i="7"/>
  <c r="B525" i="7"/>
  <c r="B523" i="7"/>
  <c r="B521" i="7"/>
  <c r="B519" i="7"/>
  <c r="B518" i="7"/>
  <c r="B517" i="7"/>
  <c r="B516" i="7"/>
  <c r="B515" i="7"/>
  <c r="B513" i="7"/>
  <c r="B511" i="7"/>
  <c r="B509" i="7"/>
  <c r="B508" i="7"/>
  <c r="B507" i="7"/>
  <c r="B506" i="7"/>
  <c r="B505" i="7"/>
  <c r="B504" i="7"/>
  <c r="B503" i="7"/>
  <c r="B502" i="7"/>
  <c r="B500" i="7"/>
  <c r="B499" i="7"/>
  <c r="B498" i="7"/>
  <c r="B497" i="7"/>
  <c r="B496" i="7"/>
  <c r="B495" i="7"/>
  <c r="B494" i="7"/>
  <c r="B493" i="7"/>
  <c r="B492" i="7"/>
  <c r="B491" i="7"/>
  <c r="B490" i="7"/>
  <c r="B488" i="7"/>
  <c r="B487" i="7"/>
  <c r="B486" i="7"/>
  <c r="B485" i="7"/>
  <c r="B484" i="7"/>
  <c r="B482" i="7"/>
  <c r="B480" i="7"/>
  <c r="B478" i="7"/>
  <c r="B476" i="7"/>
  <c r="B474" i="7"/>
  <c r="B472" i="7"/>
  <c r="B470" i="7"/>
  <c r="B468" i="7"/>
  <c r="B467" i="7"/>
  <c r="B466" i="7"/>
  <c r="B465" i="7"/>
  <c r="B464" i="7"/>
  <c r="B463" i="7"/>
  <c r="B462" i="7"/>
  <c r="B461" i="7"/>
  <c r="B460" i="7"/>
  <c r="B458" i="7"/>
  <c r="B457" i="7"/>
  <c r="B455" i="7"/>
  <c r="B454" i="7"/>
  <c r="B453" i="7"/>
  <c r="B452" i="7"/>
  <c r="B451" i="7"/>
  <c r="B449" i="7"/>
  <c r="B448" i="7"/>
  <c r="B447" i="7"/>
  <c r="B446" i="7"/>
  <c r="B445" i="7"/>
  <c r="B444" i="7"/>
  <c r="B443" i="7"/>
  <c r="B441" i="7"/>
  <c r="B440" i="7"/>
  <c r="B439" i="7"/>
  <c r="B438" i="7"/>
  <c r="B436" i="7"/>
  <c r="B434" i="7"/>
  <c r="B433" i="7"/>
  <c r="B432" i="7"/>
  <c r="B431" i="7"/>
  <c r="B430" i="7"/>
  <c r="B428" i="7"/>
  <c r="B426" i="7"/>
  <c r="B424" i="7"/>
  <c r="B423" i="7"/>
  <c r="B422" i="7"/>
  <c r="B421" i="7"/>
  <c r="B420" i="7"/>
  <c r="B419" i="7"/>
  <c r="B417" i="7"/>
  <c r="B415" i="7"/>
  <c r="B414" i="7"/>
  <c r="B413" i="7"/>
  <c r="B412" i="7"/>
  <c r="B410" i="7"/>
  <c r="B408" i="7"/>
  <c r="B407" i="7"/>
  <c r="B405" i="7"/>
  <c r="B404" i="7"/>
  <c r="B403" i="7"/>
  <c r="B402" i="7"/>
  <c r="B400" i="7"/>
  <c r="B398" i="7"/>
  <c r="B396" i="7"/>
  <c r="B395" i="7"/>
  <c r="B393" i="7"/>
  <c r="B392" i="7"/>
  <c r="B391" i="7"/>
  <c r="B390" i="7"/>
  <c r="B389" i="7"/>
  <c r="B388" i="7"/>
  <c r="B387" i="7"/>
  <c r="B386" i="7"/>
  <c r="B385" i="7"/>
  <c r="B384" i="7"/>
  <c r="B383" i="7"/>
  <c r="B382" i="7"/>
  <c r="B381" i="7"/>
  <c r="B380" i="7"/>
  <c r="B379" i="7"/>
  <c r="B377" i="7"/>
  <c r="B375" i="7"/>
  <c r="B374" i="7"/>
  <c r="B373" i="7"/>
  <c r="B371" i="7"/>
  <c r="B370" i="7"/>
  <c r="B369" i="7"/>
  <c r="B367" i="7"/>
  <c r="B366" i="7"/>
  <c r="B364" i="7"/>
  <c r="B363" i="7"/>
  <c r="B362" i="7"/>
  <c r="B360" i="7"/>
  <c r="B359" i="7"/>
  <c r="B358" i="7"/>
  <c r="B357" i="7"/>
  <c r="B356" i="7"/>
  <c r="B355" i="7"/>
  <c r="B353" i="7"/>
  <c r="B352" i="7"/>
  <c r="B351" i="7"/>
  <c r="B350" i="7"/>
  <c r="B349" i="7"/>
  <c r="B348" i="7"/>
  <c r="B347" i="7"/>
  <c r="B346" i="7"/>
  <c r="B345" i="7"/>
  <c r="B344" i="7"/>
  <c r="B343" i="7"/>
  <c r="B342" i="7"/>
  <c r="B341" i="7"/>
  <c r="B340" i="7"/>
  <c r="B339" i="7"/>
  <c r="B338" i="7"/>
  <c r="B337" i="7"/>
  <c r="B335" i="7"/>
  <c r="B334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1" i="7"/>
  <c r="B320" i="7"/>
  <c r="B319" i="7"/>
  <c r="B317" i="7"/>
  <c r="B315" i="7"/>
  <c r="B314" i="7"/>
  <c r="B313" i="7"/>
  <c r="B312" i="7"/>
  <c r="B311" i="7"/>
  <c r="B309" i="7"/>
  <c r="B308" i="7"/>
  <c r="B307" i="7"/>
  <c r="B306" i="7"/>
  <c r="B305" i="7"/>
  <c r="B303" i="7"/>
  <c r="B302" i="7"/>
  <c r="B300" i="7"/>
  <c r="B298" i="7"/>
  <c r="B297" i="7"/>
  <c r="B296" i="7"/>
  <c r="B295" i="7"/>
  <c r="B293" i="7"/>
  <c r="B292" i="7"/>
  <c r="B291" i="7"/>
  <c r="B290" i="7"/>
  <c r="B289" i="7"/>
  <c r="B288" i="7"/>
  <c r="B286" i="7"/>
  <c r="B285" i="7"/>
  <c r="B284" i="7"/>
  <c r="B283" i="7"/>
  <c r="B282" i="7"/>
  <c r="B281" i="7"/>
  <c r="B280" i="7"/>
  <c r="B278" i="7"/>
  <c r="B277" i="7"/>
  <c r="B276" i="7"/>
  <c r="B275" i="7"/>
  <c r="B274" i="7"/>
  <c r="B273" i="7"/>
  <c r="B272" i="7"/>
  <c r="B271" i="7"/>
  <c r="B270" i="7"/>
  <c r="B269" i="7"/>
  <c r="B268" i="7"/>
  <c r="B267" i="7"/>
  <c r="B266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49" i="7"/>
  <c r="B248" i="7"/>
  <c r="B247" i="7"/>
  <c r="B246" i="7"/>
  <c r="B245" i="7"/>
  <c r="B244" i="7"/>
  <c r="B242" i="7"/>
  <c r="B241" i="7"/>
  <c r="B240" i="7"/>
  <c r="B239" i="7"/>
  <c r="B238" i="7"/>
  <c r="B237" i="7"/>
  <c r="B236" i="7"/>
  <c r="B235" i="7"/>
  <c r="B234" i="7"/>
  <c r="B233" i="7"/>
  <c r="B232" i="7"/>
  <c r="B231" i="7"/>
  <c r="B230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K871" i="3"/>
  <c r="K868" i="3" s="1"/>
  <c r="N877" i="7"/>
  <c r="N874" i="7" s="1"/>
  <c r="U492" i="3" l="1"/>
  <c r="U483" i="3" s="1"/>
  <c r="U165" i="3"/>
  <c r="U162" i="3" s="1"/>
  <c r="U117" i="3"/>
  <c r="U113" i="3"/>
  <c r="U105" i="3"/>
  <c r="U93" i="3"/>
  <c r="U89" i="3"/>
  <c r="U65" i="3"/>
  <c r="U683" i="3"/>
  <c r="U674" i="3" s="1"/>
  <c r="U470" i="3"/>
  <c r="U257" i="3"/>
  <c r="U244" i="3" s="1"/>
  <c r="U108" i="3"/>
  <c r="U88" i="3"/>
  <c r="U296" i="3"/>
  <c r="U123" i="3"/>
  <c r="U115" i="3"/>
  <c r="U107" i="3"/>
  <c r="U87" i="3"/>
  <c r="U79" i="3"/>
  <c r="U71" i="3"/>
  <c r="U67" i="3"/>
  <c r="U159" i="3"/>
  <c r="U129" i="3" s="1"/>
  <c r="U122" i="3"/>
  <c r="U114" i="3"/>
  <c r="U94" i="3"/>
  <c r="U74" i="3"/>
  <c r="U62" i="3"/>
  <c r="U1097" i="3"/>
  <c r="U981" i="3"/>
  <c r="P13" i="3" l="1"/>
  <c r="AC877" i="7"/>
  <c r="D877" i="7" s="1"/>
  <c r="K1103" i="3"/>
  <c r="K1097" i="3" s="1"/>
  <c r="K995" i="3"/>
  <c r="K981" i="3" s="1"/>
  <c r="K783" i="3"/>
  <c r="K770" i="3" s="1"/>
  <c r="K202" i="3"/>
  <c r="K162" i="3" s="1"/>
  <c r="B1192" i="3"/>
  <c r="B1190" i="3"/>
  <c r="B1189" i="3"/>
  <c r="B1188" i="3"/>
  <c r="B1186" i="3"/>
  <c r="B1184" i="3"/>
  <c r="B1182" i="3"/>
  <c r="B1180" i="3"/>
  <c r="B1179" i="3"/>
  <c r="B1178" i="3"/>
  <c r="B1176" i="3"/>
  <c r="B1175" i="3"/>
  <c r="B1173" i="3"/>
  <c r="B1171" i="3"/>
  <c r="B1169" i="3"/>
  <c r="B1168" i="3"/>
  <c r="B1166" i="3"/>
  <c r="B1165" i="3"/>
  <c r="B1164" i="3"/>
  <c r="B1163" i="3"/>
  <c r="B1161" i="3"/>
  <c r="B1160" i="3"/>
  <c r="B1159" i="3"/>
  <c r="B1157" i="3"/>
  <c r="B1156" i="3"/>
  <c r="B1154" i="3"/>
  <c r="B1153" i="3"/>
  <c r="B1151" i="3"/>
  <c r="B1149" i="3"/>
  <c r="B1147" i="3"/>
  <c r="B1145" i="3"/>
  <c r="B1144" i="3"/>
  <c r="B1143" i="3"/>
  <c r="B1141" i="3"/>
  <c r="B1139" i="3"/>
  <c r="B1137" i="3"/>
  <c r="B1135" i="3"/>
  <c r="B1134" i="3"/>
  <c r="B1133" i="3"/>
  <c r="B1131" i="3"/>
  <c r="B1129" i="3"/>
  <c r="B1127" i="3"/>
  <c r="B1125" i="3"/>
  <c r="B1123" i="3"/>
  <c r="B1121" i="3"/>
  <c r="B1119" i="3"/>
  <c r="B1118" i="3"/>
  <c r="B1117" i="3"/>
  <c r="B1115" i="3"/>
  <c r="B1113" i="3"/>
  <c r="B1112" i="3"/>
  <c r="B1110" i="3"/>
  <c r="B1109" i="3"/>
  <c r="B1108" i="3"/>
  <c r="B1106" i="3"/>
  <c r="B1105" i="3"/>
  <c r="B1103" i="3"/>
  <c r="B1102" i="3"/>
  <c r="B1101" i="3"/>
  <c r="B1100" i="3"/>
  <c r="B1099" i="3"/>
  <c r="B1098" i="3"/>
  <c r="B1096" i="3"/>
  <c r="B1094" i="3"/>
  <c r="B1092" i="3"/>
  <c r="B1090" i="3"/>
  <c r="B1089" i="3"/>
  <c r="B1087" i="3"/>
  <c r="B1085" i="3"/>
  <c r="B1083" i="3"/>
  <c r="B1081" i="3"/>
  <c r="B1079" i="3"/>
  <c r="B1078" i="3"/>
  <c r="B1076" i="3"/>
  <c r="B1075" i="3"/>
  <c r="B1074" i="3"/>
  <c r="B1073" i="3"/>
  <c r="B1072" i="3"/>
  <c r="B1071" i="3"/>
  <c r="B1070" i="3"/>
  <c r="B1068" i="3"/>
  <c r="B1066" i="3"/>
  <c r="B1064" i="3"/>
  <c r="B1063" i="3"/>
  <c r="B1061" i="3"/>
  <c r="B1059" i="3"/>
  <c r="B1057" i="3"/>
  <c r="B1056" i="3"/>
  <c r="B1054" i="3"/>
  <c r="B1053" i="3"/>
  <c r="B1051" i="3"/>
  <c r="B1050" i="3"/>
  <c r="B1049" i="3"/>
  <c r="B1047" i="3"/>
  <c r="B1046" i="3"/>
  <c r="B1045" i="3"/>
  <c r="B1044" i="3"/>
  <c r="B1043" i="3"/>
  <c r="B1042" i="3"/>
  <c r="B1041" i="3"/>
  <c r="B1040" i="3"/>
  <c r="B1038" i="3"/>
  <c r="B1037" i="3"/>
  <c r="B1034" i="3"/>
  <c r="B1033" i="3"/>
  <c r="B1032" i="3"/>
  <c r="B1031" i="3"/>
  <c r="B1030" i="3"/>
  <c r="B1029" i="3"/>
  <c r="B1028" i="3"/>
  <c r="B1027" i="3"/>
  <c r="B1026" i="3"/>
  <c r="B1025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0" i="3"/>
  <c r="B918" i="3"/>
  <c r="B916" i="3"/>
  <c r="B915" i="3"/>
  <c r="B913" i="3"/>
  <c r="B911" i="3"/>
  <c r="B910" i="3"/>
  <c r="B909" i="3"/>
  <c r="B907" i="3"/>
  <c r="B905" i="3"/>
  <c r="B903" i="3"/>
  <c r="B901" i="3"/>
  <c r="B900" i="3"/>
  <c r="B898" i="3"/>
  <c r="B897" i="3"/>
  <c r="B896" i="3"/>
  <c r="B894" i="3"/>
  <c r="B892" i="3"/>
  <c r="B890" i="3"/>
  <c r="B888" i="3"/>
  <c r="B886" i="3"/>
  <c r="B884" i="3"/>
  <c r="B883" i="3"/>
  <c r="B881" i="3"/>
  <c r="B880" i="3"/>
  <c r="B879" i="3"/>
  <c r="B878" i="3"/>
  <c r="B877" i="3"/>
  <c r="B875" i="3"/>
  <c r="B873" i="3"/>
  <c r="B870" i="3"/>
  <c r="B869" i="3"/>
  <c r="B867" i="3"/>
  <c r="B865" i="3"/>
  <c r="B863" i="3"/>
  <c r="B861" i="3"/>
  <c r="B859" i="3"/>
  <c r="B857" i="3"/>
  <c r="B855" i="3"/>
  <c r="B853" i="3"/>
  <c r="B852" i="3"/>
  <c r="B850" i="3"/>
  <c r="B849" i="3"/>
  <c r="B848" i="3"/>
  <c r="B847" i="3"/>
  <c r="B845" i="3"/>
  <c r="B843" i="3"/>
  <c r="B841" i="3"/>
  <c r="B840" i="3"/>
  <c r="B838" i="3"/>
  <c r="B836" i="3"/>
  <c r="B835" i="3"/>
  <c r="B834" i="3"/>
  <c r="B833" i="3"/>
  <c r="B832" i="3"/>
  <c r="B831" i="3"/>
  <c r="B830" i="3"/>
  <c r="B829" i="3"/>
  <c r="B827" i="3"/>
  <c r="B825" i="3"/>
  <c r="B823" i="3"/>
  <c r="B821" i="3"/>
  <c r="B819" i="3"/>
  <c r="B817" i="3"/>
  <c r="B815" i="3"/>
  <c r="B813" i="3"/>
  <c r="B812" i="3"/>
  <c r="B810" i="3"/>
  <c r="B809" i="3"/>
  <c r="B808" i="3"/>
  <c r="B807" i="3"/>
  <c r="B806" i="3"/>
  <c r="B805" i="3"/>
  <c r="B803" i="3"/>
  <c r="B801" i="3"/>
  <c r="B799" i="3"/>
  <c r="B798" i="3"/>
  <c r="B796" i="3"/>
  <c r="B794" i="3"/>
  <c r="B793" i="3"/>
  <c r="B791" i="3"/>
  <c r="B790" i="3"/>
  <c r="B789" i="3"/>
  <c r="B788" i="3"/>
  <c r="B786" i="3"/>
  <c r="B785" i="3"/>
  <c r="B773" i="3"/>
  <c r="B772" i="3"/>
  <c r="B771" i="3"/>
  <c r="B769" i="3"/>
  <c r="B768" i="3"/>
  <c r="B767" i="3"/>
  <c r="B749" i="3"/>
  <c r="B748" i="3"/>
  <c r="B747" i="3"/>
  <c r="B746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77" i="3"/>
  <c r="B676" i="3"/>
  <c r="B675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58" i="3"/>
  <c r="B556" i="3"/>
  <c r="B555" i="3"/>
  <c r="B554" i="3"/>
  <c r="B552" i="3"/>
  <c r="B551" i="3"/>
  <c r="B550" i="3"/>
  <c r="B549" i="3"/>
  <c r="B548" i="3"/>
  <c r="B546" i="3"/>
  <c r="B545" i="3"/>
  <c r="B544" i="3"/>
  <c r="B543" i="3"/>
  <c r="B542" i="3"/>
  <c r="B541" i="3"/>
  <c r="B540" i="3"/>
  <c r="B539" i="3"/>
  <c r="B537" i="3"/>
  <c r="B535" i="3"/>
  <c r="B534" i="3"/>
  <c r="B532" i="3"/>
  <c r="B530" i="3"/>
  <c r="B529" i="3"/>
  <c r="B528" i="3"/>
  <c r="B527" i="3"/>
  <c r="B526" i="3"/>
  <c r="B525" i="3"/>
  <c r="B523" i="3"/>
  <c r="B521" i="3"/>
  <c r="B519" i="3"/>
  <c r="B517" i="3"/>
  <c r="B515" i="3"/>
  <c r="B513" i="3"/>
  <c r="B512" i="3"/>
  <c r="B511" i="3"/>
  <c r="B510" i="3"/>
  <c r="B509" i="3"/>
  <c r="B507" i="3"/>
  <c r="B505" i="3"/>
  <c r="B503" i="3"/>
  <c r="B502" i="3"/>
  <c r="B501" i="3"/>
  <c r="B500" i="3"/>
  <c r="B499" i="3"/>
  <c r="B498" i="3"/>
  <c r="B497" i="3"/>
  <c r="B496" i="3"/>
  <c r="B494" i="3"/>
  <c r="B493" i="3"/>
  <c r="B492" i="3"/>
  <c r="B491" i="3"/>
  <c r="B490" i="3"/>
  <c r="B489" i="3"/>
  <c r="B488" i="3"/>
  <c r="B487" i="3"/>
  <c r="B486" i="3"/>
  <c r="B485" i="3"/>
  <c r="B484" i="3"/>
  <c r="B482" i="3"/>
  <c r="B481" i="3"/>
  <c r="B480" i="3"/>
  <c r="B479" i="3"/>
  <c r="B478" i="3"/>
  <c r="B476" i="3"/>
  <c r="B474" i="3"/>
  <c r="B472" i="3"/>
  <c r="B470" i="3"/>
  <c r="B468" i="3"/>
  <c r="B466" i="3"/>
  <c r="B464" i="3"/>
  <c r="B462" i="3"/>
  <c r="B461" i="3"/>
  <c r="B460" i="3"/>
  <c r="B459" i="3"/>
  <c r="B458" i="3"/>
  <c r="B457" i="3"/>
  <c r="B456" i="3"/>
  <c r="B455" i="3"/>
  <c r="B454" i="3"/>
  <c r="B452" i="3"/>
  <c r="B451" i="3"/>
  <c r="B449" i="3"/>
  <c r="B448" i="3"/>
  <c r="B447" i="3"/>
  <c r="B446" i="3"/>
  <c r="B445" i="3"/>
  <c r="B443" i="3"/>
  <c r="B442" i="3"/>
  <c r="B441" i="3"/>
  <c r="B440" i="3"/>
  <c r="B439" i="3"/>
  <c r="B438" i="3"/>
  <c r="B437" i="3"/>
  <c r="B435" i="3"/>
  <c r="B434" i="3"/>
  <c r="B433" i="3"/>
  <c r="B432" i="3"/>
  <c r="B430" i="3"/>
  <c r="B428" i="3"/>
  <c r="B427" i="3"/>
  <c r="B426" i="3"/>
  <c r="B425" i="3"/>
  <c r="B424" i="3"/>
  <c r="B422" i="3"/>
  <c r="B420" i="3"/>
  <c r="B418" i="3"/>
  <c r="B417" i="3"/>
  <c r="B416" i="3"/>
  <c r="B415" i="3"/>
  <c r="B414" i="3"/>
  <c r="B413" i="3"/>
  <c r="B411" i="3"/>
  <c r="B409" i="3"/>
  <c r="B408" i="3"/>
  <c r="B407" i="3"/>
  <c r="B406" i="3"/>
  <c r="B404" i="3"/>
  <c r="B402" i="3"/>
  <c r="B401" i="3"/>
  <c r="B399" i="3"/>
  <c r="B398" i="3"/>
  <c r="B397" i="3"/>
  <c r="B396" i="3"/>
  <c r="B394" i="3"/>
  <c r="B392" i="3"/>
  <c r="B390" i="3"/>
  <c r="B389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1" i="3"/>
  <c r="B369" i="3"/>
  <c r="B368" i="3"/>
  <c r="B367" i="3"/>
  <c r="B365" i="3"/>
  <c r="B364" i="3"/>
  <c r="B363" i="3"/>
  <c r="B361" i="3"/>
  <c r="B360" i="3"/>
  <c r="B358" i="3"/>
  <c r="B357" i="3"/>
  <c r="B356" i="3"/>
  <c r="B354" i="3"/>
  <c r="B353" i="3"/>
  <c r="B352" i="3"/>
  <c r="B351" i="3"/>
  <c r="B350" i="3"/>
  <c r="B349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1" i="3"/>
  <c r="B309" i="3"/>
  <c r="B308" i="3"/>
  <c r="B307" i="3"/>
  <c r="B306" i="3"/>
  <c r="B305" i="3"/>
  <c r="B303" i="3"/>
  <c r="B302" i="3"/>
  <c r="B301" i="3"/>
  <c r="B300" i="3"/>
  <c r="B299" i="3"/>
  <c r="B297" i="3"/>
  <c r="B296" i="3"/>
  <c r="B294" i="3"/>
  <c r="B292" i="3"/>
  <c r="B291" i="3"/>
  <c r="B290" i="3"/>
  <c r="B289" i="3"/>
  <c r="B287" i="3"/>
  <c r="B286" i="3"/>
  <c r="B285" i="3"/>
  <c r="B284" i="3"/>
  <c r="B283" i="3"/>
  <c r="B282" i="3"/>
  <c r="B280" i="3"/>
  <c r="B279" i="3"/>
  <c r="B278" i="3"/>
  <c r="B277" i="3"/>
  <c r="B276" i="3"/>
  <c r="B275" i="3"/>
  <c r="B274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3" i="3"/>
  <c r="B242" i="3"/>
  <c r="B241" i="3"/>
  <c r="B240" i="3"/>
  <c r="B239" i="3"/>
  <c r="B238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S133" i="3"/>
  <c r="S132" i="3"/>
  <c r="N127" i="7" l="1"/>
  <c r="N87" i="7"/>
  <c r="N303" i="7" l="1"/>
  <c r="AC789" i="7"/>
  <c r="D789" i="7" l="1"/>
  <c r="N474" i="7" l="1"/>
  <c r="N564" i="7"/>
  <c r="N497" i="7" l="1"/>
  <c r="N498" i="7"/>
  <c r="U1109" i="7"/>
  <c r="E689" i="7"/>
  <c r="E680" i="7" s="1"/>
  <c r="N165" i="7"/>
  <c r="N1108" i="7" l="1"/>
  <c r="N1107" i="7"/>
  <c r="N1106" i="7"/>
  <c r="N1104" i="7"/>
  <c r="AC1109" i="7"/>
  <c r="D1109" i="7" s="1"/>
  <c r="E1103" i="7"/>
  <c r="F1103" i="7"/>
  <c r="G1103" i="7"/>
  <c r="H1103" i="7"/>
  <c r="I1103" i="7"/>
  <c r="J1103" i="7"/>
  <c r="K1103" i="7"/>
  <c r="L1103" i="7"/>
  <c r="M1103" i="7"/>
  <c r="O1103" i="7"/>
  <c r="Q1103" i="7"/>
  <c r="R1103" i="7"/>
  <c r="S1103" i="7"/>
  <c r="T1103" i="7"/>
  <c r="U1103" i="7"/>
  <c r="V1103" i="7"/>
  <c r="W1103" i="7"/>
  <c r="X1103" i="7"/>
  <c r="Y1103" i="7"/>
  <c r="Z1103" i="7"/>
  <c r="AA1103" i="7"/>
  <c r="AB1103" i="7"/>
  <c r="AD1103" i="7"/>
  <c r="AE1103" i="7"/>
  <c r="P1103" i="7" l="1"/>
  <c r="N1103" i="7"/>
  <c r="AE197" i="8" l="1"/>
  <c r="F197" i="8"/>
  <c r="E196" i="8"/>
  <c r="B197" i="8" l="1"/>
  <c r="G196" i="8"/>
  <c r="H196" i="8"/>
  <c r="I196" i="8"/>
  <c r="J196" i="8"/>
  <c r="K196" i="8"/>
  <c r="L196" i="8"/>
  <c r="M196" i="8"/>
  <c r="N196" i="8"/>
  <c r="O196" i="8"/>
  <c r="P196" i="8"/>
  <c r="Q196" i="8"/>
  <c r="R196" i="8"/>
  <c r="S196" i="8"/>
  <c r="T196" i="8"/>
  <c r="U196" i="8"/>
  <c r="V196" i="8"/>
  <c r="W196" i="8"/>
  <c r="X196" i="8"/>
  <c r="Y196" i="8"/>
  <c r="Z196" i="8"/>
  <c r="AA196" i="8"/>
  <c r="AB196" i="8"/>
  <c r="AC196" i="8"/>
  <c r="AD196" i="8"/>
  <c r="AE196" i="8"/>
  <c r="AF196" i="8"/>
  <c r="AG196" i="8"/>
  <c r="F196" i="8"/>
  <c r="N208" i="7"/>
  <c r="N491" i="7"/>
  <c r="N171" i="7"/>
  <c r="T208" i="7" l="1"/>
  <c r="N999" i="7" l="1"/>
  <c r="N998" i="7"/>
  <c r="N997" i="7"/>
  <c r="AC1001" i="7"/>
  <c r="D1001" i="7" l="1"/>
  <c r="E1061" i="7"/>
  <c r="F1061" i="7"/>
  <c r="G1061" i="7"/>
  <c r="H1061" i="7"/>
  <c r="I1061" i="7"/>
  <c r="J1061" i="7"/>
  <c r="K1061" i="7"/>
  <c r="L1061" i="7"/>
  <c r="M1061" i="7"/>
  <c r="N1061" i="7"/>
  <c r="O1061" i="7"/>
  <c r="P1061" i="7"/>
  <c r="Q1061" i="7"/>
  <c r="R1061" i="7"/>
  <c r="S1061" i="7"/>
  <c r="T1061" i="7"/>
  <c r="U1061" i="7"/>
  <c r="V1061" i="7"/>
  <c r="W1061" i="7"/>
  <c r="X1061" i="7"/>
  <c r="Y1061" i="7"/>
  <c r="Z1061" i="7"/>
  <c r="AA1061" i="7"/>
  <c r="AB1061" i="7"/>
  <c r="AD1061" i="7"/>
  <c r="AE1061" i="7"/>
  <c r="AC692" i="7" l="1"/>
  <c r="D692" i="7" s="1"/>
  <c r="AC691" i="7"/>
  <c r="D691" i="7" s="1"/>
  <c r="AC809" i="7"/>
  <c r="AC808" i="7" s="1"/>
  <c r="E1073" i="7"/>
  <c r="F1073" i="7"/>
  <c r="G1073" i="7"/>
  <c r="H1073" i="7"/>
  <c r="I1073" i="7"/>
  <c r="J1073" i="7"/>
  <c r="K1073" i="7"/>
  <c r="L1073" i="7"/>
  <c r="M1073" i="7"/>
  <c r="N1073" i="7"/>
  <c r="O1073" i="7"/>
  <c r="P1073" i="7"/>
  <c r="Q1073" i="7"/>
  <c r="R1073" i="7"/>
  <c r="S1073" i="7"/>
  <c r="T1073" i="7"/>
  <c r="U1073" i="7"/>
  <c r="V1073" i="7"/>
  <c r="W1073" i="7"/>
  <c r="X1073" i="7"/>
  <c r="Y1073" i="7"/>
  <c r="Z1073" i="7"/>
  <c r="AA1073" i="7"/>
  <c r="AB1073" i="7"/>
  <c r="AD1073" i="7"/>
  <c r="AE1073" i="7"/>
  <c r="AC1074" i="7"/>
  <c r="D1074" i="7" s="1"/>
  <c r="D1073" i="7" s="1"/>
  <c r="R486" i="7"/>
  <c r="E489" i="7"/>
  <c r="F489" i="7"/>
  <c r="G489" i="7"/>
  <c r="H489" i="7"/>
  <c r="I489" i="7"/>
  <c r="J489" i="7"/>
  <c r="K489" i="7"/>
  <c r="L489" i="7"/>
  <c r="M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D489" i="7"/>
  <c r="AE489" i="7"/>
  <c r="AC1073" i="7" l="1"/>
  <c r="AC393" i="7" l="1"/>
  <c r="D393" i="7" s="1"/>
  <c r="E378" i="7"/>
  <c r="F378" i="7"/>
  <c r="G378" i="7"/>
  <c r="H378" i="7"/>
  <c r="I378" i="7"/>
  <c r="J378" i="7"/>
  <c r="K378" i="7"/>
  <c r="L378" i="7"/>
  <c r="M378" i="7"/>
  <c r="O378" i="7"/>
  <c r="P378" i="7"/>
  <c r="Q378" i="7"/>
  <c r="R378" i="7"/>
  <c r="S378" i="7"/>
  <c r="T378" i="7"/>
  <c r="U378" i="7"/>
  <c r="V378" i="7"/>
  <c r="W378" i="7"/>
  <c r="X378" i="7"/>
  <c r="Y378" i="7"/>
  <c r="Z378" i="7"/>
  <c r="AA378" i="7"/>
  <c r="AB378" i="7"/>
  <c r="AD378" i="7"/>
  <c r="AE378" i="7"/>
  <c r="AC208" i="7"/>
  <c r="D208" i="7" s="1"/>
  <c r="E168" i="7"/>
  <c r="F168" i="7"/>
  <c r="G168" i="7"/>
  <c r="H168" i="7"/>
  <c r="I168" i="7"/>
  <c r="J168" i="7"/>
  <c r="K168" i="7"/>
  <c r="L168" i="7"/>
  <c r="M168" i="7"/>
  <c r="N168" i="7"/>
  <c r="O168" i="7"/>
  <c r="P168" i="7"/>
  <c r="Q168" i="7"/>
  <c r="R168" i="7"/>
  <c r="S168" i="7"/>
  <c r="T168" i="7"/>
  <c r="U168" i="7"/>
  <c r="V168" i="7"/>
  <c r="W168" i="7"/>
  <c r="X168" i="7"/>
  <c r="Y168" i="7"/>
  <c r="Z168" i="7"/>
  <c r="AA168" i="7"/>
  <c r="AB168" i="7"/>
  <c r="AD168" i="7"/>
  <c r="AE168" i="7"/>
  <c r="AD134" i="7" l="1"/>
  <c r="D11" i="5"/>
  <c r="E11" i="5"/>
  <c r="C11" i="5"/>
  <c r="F11" i="5"/>
  <c r="Q192" i="9"/>
  <c r="Q190" i="9"/>
  <c r="Q188" i="9"/>
  <c r="Q186" i="9"/>
  <c r="Q184" i="9"/>
  <c r="Q182" i="9"/>
  <c r="Q180" i="9"/>
  <c r="Q176" i="9"/>
  <c r="Q174" i="9"/>
  <c r="Q172" i="9"/>
  <c r="Q169" i="9"/>
  <c r="Q166" i="9"/>
  <c r="Q164" i="9"/>
  <c r="Q162" i="9"/>
  <c r="Q157" i="9"/>
  <c r="Q155" i="9"/>
  <c r="Q153" i="9"/>
  <c r="Q150" i="9"/>
  <c r="Q144" i="9"/>
  <c r="Q130" i="9"/>
  <c r="Q103" i="9"/>
  <c r="Q98" i="9"/>
  <c r="Q91" i="9"/>
  <c r="Q74" i="9"/>
  <c r="Q71" i="9"/>
  <c r="Q64" i="9"/>
  <c r="Q60" i="9"/>
  <c r="Q58" i="9"/>
  <c r="Q56" i="9"/>
  <c r="Q52" i="9"/>
  <c r="Q50" i="9"/>
  <c r="Q48" i="9"/>
  <c r="Q46" i="9"/>
  <c r="Q42" i="9"/>
  <c r="Q40" i="9"/>
  <c r="Q38" i="9"/>
  <c r="Q34" i="9"/>
  <c r="Q31" i="9"/>
  <c r="Q28" i="9"/>
  <c r="Q26" i="9"/>
  <c r="Q24" i="9"/>
  <c r="Q22" i="9"/>
  <c r="Q13" i="9"/>
  <c r="Q11" i="9"/>
  <c r="J15" i="3"/>
  <c r="K15" i="3"/>
  <c r="L15" i="3"/>
  <c r="I15" i="3"/>
  <c r="T15" i="3" s="1"/>
  <c r="S128" i="3"/>
  <c r="S127" i="3"/>
  <c r="S126" i="3"/>
  <c r="S125" i="3"/>
  <c r="S124" i="3"/>
  <c r="S123" i="3"/>
  <c r="R15" i="3"/>
  <c r="Q15" i="3"/>
  <c r="U1191" i="3"/>
  <c r="U1187" i="3"/>
  <c r="U1185" i="3"/>
  <c r="U1183" i="3"/>
  <c r="U1181" i="3"/>
  <c r="U1177" i="3"/>
  <c r="U1174" i="3"/>
  <c r="U1172" i="3"/>
  <c r="U1170" i="3"/>
  <c r="U1167" i="3"/>
  <c r="U1162" i="3"/>
  <c r="U1158" i="3"/>
  <c r="U1155" i="3"/>
  <c r="U1152" i="3"/>
  <c r="U1150" i="3"/>
  <c r="U1148" i="3"/>
  <c r="U1146" i="3"/>
  <c r="U1142" i="3"/>
  <c r="U1140" i="3"/>
  <c r="U1138" i="3"/>
  <c r="U1136" i="3"/>
  <c r="U1132" i="3"/>
  <c r="U1130" i="3"/>
  <c r="U1128" i="3"/>
  <c r="U1126" i="3"/>
  <c r="U1124" i="3"/>
  <c r="U1122" i="3"/>
  <c r="U1120" i="3"/>
  <c r="U1116" i="3"/>
  <c r="U1114" i="3"/>
  <c r="U1111" i="3"/>
  <c r="U1107" i="3"/>
  <c r="U1104" i="3"/>
  <c r="U1095" i="3"/>
  <c r="U1093" i="3"/>
  <c r="U1091" i="3"/>
  <c r="U1088" i="3"/>
  <c r="U1086" i="3"/>
  <c r="U1084" i="3"/>
  <c r="U1082" i="3"/>
  <c r="U1080" i="3"/>
  <c r="U1077" i="3"/>
  <c r="U1069" i="3"/>
  <c r="U1065" i="3"/>
  <c r="U1062" i="3"/>
  <c r="U1060" i="3"/>
  <c r="U1058" i="3"/>
  <c r="U1052" i="3"/>
  <c r="U1048" i="3"/>
  <c r="U1039" i="3"/>
  <c r="U1036" i="3"/>
  <c r="U996" i="3"/>
  <c r="U922" i="3"/>
  <c r="U919" i="3"/>
  <c r="U917" i="3"/>
  <c r="U914" i="3"/>
  <c r="U912" i="3"/>
  <c r="U908" i="3"/>
  <c r="U906" i="3"/>
  <c r="U904" i="3"/>
  <c r="U902" i="3"/>
  <c r="U899" i="3"/>
  <c r="U895" i="3"/>
  <c r="U891" i="3"/>
  <c r="U889" i="3"/>
  <c r="U887" i="3"/>
  <c r="U885" i="3"/>
  <c r="U882" i="3"/>
  <c r="U876" i="3"/>
  <c r="U874" i="3"/>
  <c r="U872" i="3"/>
  <c r="U866" i="3"/>
  <c r="U864" i="3"/>
  <c r="U862" i="3"/>
  <c r="U860" i="3"/>
  <c r="U858" i="3"/>
  <c r="U856" i="3"/>
  <c r="U854" i="3"/>
  <c r="U851" i="3"/>
  <c r="U846" i="3"/>
  <c r="U844" i="3"/>
  <c r="U842" i="3"/>
  <c r="U839" i="3"/>
  <c r="U837" i="3"/>
  <c r="U828" i="3"/>
  <c r="U826" i="3"/>
  <c r="U824" i="3"/>
  <c r="U822" i="3"/>
  <c r="U820" i="3"/>
  <c r="U818" i="3"/>
  <c r="U816" i="3"/>
  <c r="U814" i="3"/>
  <c r="U811" i="3"/>
  <c r="U804" i="3"/>
  <c r="U800" i="3"/>
  <c r="U797" i="3"/>
  <c r="U795" i="3"/>
  <c r="U787" i="3"/>
  <c r="U784" i="3"/>
  <c r="U766" i="3"/>
  <c r="U689" i="3"/>
  <c r="U560" i="3"/>
  <c r="U557" i="3"/>
  <c r="U553" i="3"/>
  <c r="U547" i="3"/>
  <c r="U538" i="3"/>
  <c r="U536" i="3"/>
  <c r="U533" i="3"/>
  <c r="U531" i="3"/>
  <c r="U524" i="3"/>
  <c r="U522" i="3"/>
  <c r="U520" i="3"/>
  <c r="U518" i="3"/>
  <c r="U516" i="3"/>
  <c r="U514" i="3"/>
  <c r="U508" i="3"/>
  <c r="U506" i="3"/>
  <c r="U504" i="3"/>
  <c r="U495" i="3"/>
  <c r="U477" i="3"/>
  <c r="U475" i="3"/>
  <c r="U473" i="3"/>
  <c r="U471" i="3"/>
  <c r="U467" i="3"/>
  <c r="U465" i="3"/>
  <c r="U463" i="3"/>
  <c r="U453" i="3"/>
  <c r="U450" i="3"/>
  <c r="U444" i="3"/>
  <c r="U431" i="3"/>
  <c r="U429" i="3"/>
  <c r="U423" i="3"/>
  <c r="U421" i="3"/>
  <c r="U419" i="3"/>
  <c r="U412" i="3"/>
  <c r="U410" i="3"/>
  <c r="U405" i="3"/>
  <c r="U403" i="3"/>
  <c r="U400" i="3"/>
  <c r="U395" i="3"/>
  <c r="U393" i="3"/>
  <c r="U391" i="3"/>
  <c r="U388" i="3"/>
  <c r="U370" i="3"/>
  <c r="U366" i="3"/>
  <c r="U362" i="3"/>
  <c r="U359" i="3"/>
  <c r="U355" i="3"/>
  <c r="U348" i="3"/>
  <c r="U330" i="3"/>
  <c r="U312" i="3"/>
  <c r="U310" i="3"/>
  <c r="U304" i="3"/>
  <c r="U298" i="3"/>
  <c r="U295" i="3"/>
  <c r="U293" i="3"/>
  <c r="U288" i="3"/>
  <c r="U281" i="3"/>
  <c r="U273" i="3"/>
  <c r="U237" i="3"/>
  <c r="U203" i="3"/>
  <c r="U15" i="3"/>
  <c r="Q63" i="9" l="1"/>
  <c r="Q10" i="9"/>
  <c r="U921" i="3"/>
  <c r="AC609" i="7" l="1"/>
  <c r="AC124" i="7" l="1"/>
  <c r="AD117" i="7"/>
  <c r="AC109" i="7"/>
  <c r="AC127" i="7"/>
  <c r="AC126" i="7"/>
  <c r="AC125" i="7"/>
  <c r="AC123" i="7"/>
  <c r="AC122" i="7"/>
  <c r="AC120" i="7"/>
  <c r="AC119" i="7"/>
  <c r="AC117" i="7"/>
  <c r="AC118" i="7"/>
  <c r="AC116" i="7"/>
  <c r="AC115" i="7"/>
  <c r="AC114" i="7"/>
  <c r="AC112" i="7"/>
  <c r="AC111" i="7"/>
  <c r="AC110" i="7"/>
  <c r="AC108" i="7"/>
  <c r="AC107" i="7"/>
  <c r="AC106" i="7"/>
  <c r="AC104" i="7"/>
  <c r="AC103" i="7"/>
  <c r="AC102" i="7"/>
  <c r="AC101" i="7"/>
  <c r="AC100" i="7"/>
  <c r="AC97" i="7"/>
  <c r="AC96" i="7"/>
  <c r="AC95" i="7"/>
  <c r="AC94" i="7"/>
  <c r="AC93" i="7"/>
  <c r="AC92" i="7"/>
  <c r="AC91" i="7"/>
  <c r="AC90" i="7"/>
  <c r="AC89" i="7"/>
  <c r="AC88" i="7"/>
  <c r="AC87" i="7"/>
  <c r="D87" i="7" s="1"/>
  <c r="AC86" i="7"/>
  <c r="AC85" i="7"/>
  <c r="AC84" i="7"/>
  <c r="AC83" i="7"/>
  <c r="AC82" i="7"/>
  <c r="AC81" i="7"/>
  <c r="AC80" i="7"/>
  <c r="AC65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D21" i="7"/>
  <c r="AE21" i="7"/>
  <c r="D134" i="7"/>
  <c r="D133" i="7"/>
  <c r="D132" i="7"/>
  <c r="D131" i="7"/>
  <c r="D130" i="7"/>
  <c r="D129" i="7"/>
  <c r="K1147" i="3" l="1"/>
  <c r="K546" i="3"/>
  <c r="K545" i="3"/>
  <c r="K492" i="3"/>
  <c r="K483" i="3" s="1"/>
  <c r="K409" i="3"/>
  <c r="K399" i="3"/>
  <c r="K386" i="3"/>
  <c r="K372" i="3" s="1"/>
  <c r="K365" i="3"/>
  <c r="K287" i="3"/>
  <c r="K272" i="3"/>
  <c r="K244" i="3" s="1"/>
  <c r="AC353" i="7"/>
  <c r="R465" i="3" l="1"/>
  <c r="Q465" i="3"/>
  <c r="R504" i="3"/>
  <c r="Q504" i="3"/>
  <c r="S546" i="3"/>
  <c r="S545" i="3"/>
  <c r="S535" i="3"/>
  <c r="S492" i="3"/>
  <c r="S466" i="3"/>
  <c r="S465" i="3" s="1"/>
  <c r="S452" i="3"/>
  <c r="S435" i="3"/>
  <c r="S434" i="3"/>
  <c r="S409" i="3"/>
  <c r="S399" i="3"/>
  <c r="S386" i="3"/>
  <c r="S369" i="3"/>
  <c r="S365" i="3"/>
  <c r="S354" i="3"/>
  <c r="S353" i="3"/>
  <c r="S347" i="3"/>
  <c r="S346" i="3"/>
  <c r="S345" i="3"/>
  <c r="S344" i="3"/>
  <c r="S343" i="3"/>
  <c r="S329" i="3"/>
  <c r="S328" i="3"/>
  <c r="S287" i="3"/>
  <c r="S272" i="3"/>
  <c r="S243" i="3"/>
  <c r="S236" i="3"/>
  <c r="S235" i="3"/>
  <c r="S234" i="3"/>
  <c r="S201" i="3"/>
  <c r="S200" i="3"/>
  <c r="S199" i="3"/>
  <c r="S161" i="3"/>
  <c r="S115" i="3"/>
  <c r="S117" i="3"/>
  <c r="S121" i="3"/>
  <c r="S120" i="3"/>
  <c r="S116" i="3"/>
  <c r="S118" i="3"/>
  <c r="S122" i="3"/>
  <c r="S119" i="3"/>
  <c r="I553" i="3"/>
  <c r="T553" i="3" s="1"/>
  <c r="I547" i="3"/>
  <c r="T547" i="3" s="1"/>
  <c r="Q538" i="3"/>
  <c r="R538" i="3"/>
  <c r="J538" i="3"/>
  <c r="K538" i="3"/>
  <c r="L538" i="3"/>
  <c r="I538" i="3"/>
  <c r="T538" i="3" s="1"/>
  <c r="Q533" i="3"/>
  <c r="R533" i="3"/>
  <c r="J533" i="3"/>
  <c r="K533" i="3"/>
  <c r="L533" i="3"/>
  <c r="I533" i="3"/>
  <c r="T533" i="3" s="1"/>
  <c r="I524" i="3"/>
  <c r="T524" i="3" s="1"/>
  <c r="I508" i="3"/>
  <c r="T508" i="3" s="1"/>
  <c r="I504" i="3"/>
  <c r="T504" i="3" s="1"/>
  <c r="I495" i="3"/>
  <c r="T495" i="3" s="1"/>
  <c r="T483" i="3"/>
  <c r="I477" i="3"/>
  <c r="T477" i="3" s="1"/>
  <c r="I453" i="3"/>
  <c r="T453" i="3" s="1"/>
  <c r="Q450" i="3"/>
  <c r="R450" i="3"/>
  <c r="J450" i="3"/>
  <c r="K450" i="3"/>
  <c r="L450" i="3"/>
  <c r="I450" i="3"/>
  <c r="T450" i="3" s="1"/>
  <c r="I444" i="3"/>
  <c r="Q431" i="3"/>
  <c r="R431" i="3"/>
  <c r="J431" i="3"/>
  <c r="K431" i="3"/>
  <c r="L431" i="3"/>
  <c r="I431" i="3"/>
  <c r="T431" i="3" s="1"/>
  <c r="Q423" i="3"/>
  <c r="R423" i="3"/>
  <c r="J423" i="3"/>
  <c r="K423" i="3"/>
  <c r="L423" i="3"/>
  <c r="I423" i="3"/>
  <c r="T423" i="3" s="1"/>
  <c r="I412" i="3"/>
  <c r="T412" i="3" s="1"/>
  <c r="Q405" i="3"/>
  <c r="R405" i="3"/>
  <c r="J405" i="3"/>
  <c r="K405" i="3"/>
  <c r="L405" i="3"/>
  <c r="I405" i="3"/>
  <c r="T405" i="3" s="1"/>
  <c r="I400" i="3"/>
  <c r="T400" i="3" s="1"/>
  <c r="Q395" i="3"/>
  <c r="R395" i="3"/>
  <c r="J395" i="3"/>
  <c r="K395" i="3"/>
  <c r="L395" i="3"/>
  <c r="I395" i="3"/>
  <c r="T395" i="3" s="1"/>
  <c r="I388" i="3"/>
  <c r="T388" i="3" s="1"/>
  <c r="T372" i="3"/>
  <c r="Q366" i="3"/>
  <c r="R366" i="3"/>
  <c r="J366" i="3"/>
  <c r="K366" i="3"/>
  <c r="L366" i="3"/>
  <c r="I366" i="3"/>
  <c r="T366" i="3" s="1"/>
  <c r="I362" i="3"/>
  <c r="T362" i="3" s="1"/>
  <c r="Q362" i="3"/>
  <c r="R362" i="3"/>
  <c r="J362" i="3"/>
  <c r="K362" i="3"/>
  <c r="L362" i="3"/>
  <c r="I359" i="3"/>
  <c r="T359" i="3" s="1"/>
  <c r="I355" i="3"/>
  <c r="T355" i="3" s="1"/>
  <c r="Q348" i="3"/>
  <c r="R348" i="3"/>
  <c r="J348" i="3"/>
  <c r="K348" i="3"/>
  <c r="L348" i="3"/>
  <c r="I348" i="3"/>
  <c r="T348" i="3" s="1"/>
  <c r="Q330" i="3"/>
  <c r="R330" i="3"/>
  <c r="J330" i="3"/>
  <c r="K330" i="3"/>
  <c r="L330" i="3"/>
  <c r="I330" i="3"/>
  <c r="T330" i="3" s="1"/>
  <c r="Q312" i="3"/>
  <c r="R312" i="3"/>
  <c r="J312" i="3"/>
  <c r="K312" i="3"/>
  <c r="L312" i="3"/>
  <c r="I312" i="3"/>
  <c r="T312" i="3" s="1"/>
  <c r="I304" i="3"/>
  <c r="T304" i="3" s="1"/>
  <c r="I298" i="3"/>
  <c r="T298" i="3" s="1"/>
  <c r="I295" i="3"/>
  <c r="T295" i="3" s="1"/>
  <c r="I288" i="3"/>
  <c r="T288" i="3" s="1"/>
  <c r="Q281" i="3"/>
  <c r="R281" i="3"/>
  <c r="J281" i="3"/>
  <c r="K281" i="3"/>
  <c r="L281" i="3"/>
  <c r="I281" i="3"/>
  <c r="T281" i="3" s="1"/>
  <c r="I273" i="3"/>
  <c r="Q237" i="3"/>
  <c r="R237" i="3"/>
  <c r="J237" i="3"/>
  <c r="K237" i="3"/>
  <c r="L237" i="3"/>
  <c r="I237" i="3"/>
  <c r="T237" i="3" s="1"/>
  <c r="Q203" i="3"/>
  <c r="R203" i="3"/>
  <c r="J203" i="3"/>
  <c r="K203" i="3"/>
  <c r="L203" i="3"/>
  <c r="I203" i="3"/>
  <c r="T162" i="3"/>
  <c r="J465" i="3"/>
  <c r="K465" i="3"/>
  <c r="L465" i="3"/>
  <c r="I465" i="3"/>
  <c r="T465" i="3" s="1"/>
  <c r="T444" i="3" l="1"/>
  <c r="T273" i="3"/>
  <c r="T203" i="3"/>
  <c r="I536" i="7"/>
  <c r="I535" i="7"/>
  <c r="AD521" i="7" l="1"/>
  <c r="N468" i="7" l="1"/>
  <c r="N453" i="7"/>
  <c r="N452" i="7"/>
  <c r="N451" i="7"/>
  <c r="N405" i="7" l="1"/>
  <c r="AC405" i="7" s="1"/>
  <c r="E401" i="7"/>
  <c r="F401" i="7"/>
  <c r="G401" i="7"/>
  <c r="H401" i="7"/>
  <c r="I401" i="7"/>
  <c r="J401" i="7"/>
  <c r="K401" i="7"/>
  <c r="L401" i="7"/>
  <c r="M401" i="7"/>
  <c r="O401" i="7"/>
  <c r="P401" i="7"/>
  <c r="Q401" i="7"/>
  <c r="S401" i="7"/>
  <c r="T401" i="7"/>
  <c r="V401" i="7"/>
  <c r="W401" i="7"/>
  <c r="X401" i="7"/>
  <c r="Y401" i="7"/>
  <c r="Z401" i="7"/>
  <c r="AA401" i="7"/>
  <c r="AB401" i="7"/>
  <c r="AD401" i="7"/>
  <c r="AE401" i="7"/>
  <c r="AC415" i="7"/>
  <c r="E411" i="7"/>
  <c r="F411" i="7"/>
  <c r="G411" i="7"/>
  <c r="H411" i="7"/>
  <c r="I411" i="7"/>
  <c r="J411" i="7"/>
  <c r="K411" i="7"/>
  <c r="L411" i="7"/>
  <c r="M411" i="7"/>
  <c r="N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D411" i="7"/>
  <c r="AE411" i="7"/>
  <c r="D405" i="7" l="1"/>
  <c r="D415" i="7" l="1"/>
  <c r="E368" i="7" l="1"/>
  <c r="F368" i="7"/>
  <c r="H368" i="7"/>
  <c r="I368" i="7"/>
  <c r="J368" i="7"/>
  <c r="K368" i="7"/>
  <c r="L368" i="7"/>
  <c r="M368" i="7"/>
  <c r="O368" i="7"/>
  <c r="P368" i="7"/>
  <c r="Q368" i="7"/>
  <c r="R368" i="7"/>
  <c r="S368" i="7"/>
  <c r="T368" i="7"/>
  <c r="U368" i="7"/>
  <c r="V368" i="7"/>
  <c r="W368" i="7"/>
  <c r="X368" i="7"/>
  <c r="Y368" i="7"/>
  <c r="Z368" i="7"/>
  <c r="AA368" i="7"/>
  <c r="AB368" i="7"/>
  <c r="AD368" i="7"/>
  <c r="AE368" i="7"/>
  <c r="AC371" i="7"/>
  <c r="D371" i="7" s="1"/>
  <c r="P12" i="9" l="1"/>
  <c r="P14" i="9"/>
  <c r="P15" i="9"/>
  <c r="P16" i="9"/>
  <c r="P17" i="9"/>
  <c r="P18" i="9"/>
  <c r="P19" i="9"/>
  <c r="P20" i="9"/>
  <c r="P21" i="9"/>
  <c r="P23" i="9"/>
  <c r="P25" i="9"/>
  <c r="P27" i="9"/>
  <c r="P29" i="9"/>
  <c r="P30" i="9"/>
  <c r="P32" i="9"/>
  <c r="P33" i="9"/>
  <c r="P35" i="9"/>
  <c r="P36" i="9"/>
  <c r="P37" i="9"/>
  <c r="P39" i="9"/>
  <c r="P41" i="9"/>
  <c r="P43" i="9"/>
  <c r="P44" i="9"/>
  <c r="P45" i="9"/>
  <c r="P47" i="9"/>
  <c r="P49" i="9"/>
  <c r="P51" i="9"/>
  <c r="P53" i="9"/>
  <c r="P54" i="9"/>
  <c r="P55" i="9"/>
  <c r="P57" i="9"/>
  <c r="P59" i="9"/>
  <c r="P61" i="9"/>
  <c r="AC1153" i="7"/>
  <c r="AC1152" i="7" s="1"/>
  <c r="E1152" i="7"/>
  <c r="F1152" i="7"/>
  <c r="G1152" i="7"/>
  <c r="H1152" i="7"/>
  <c r="I1152" i="7"/>
  <c r="J1152" i="7"/>
  <c r="K1152" i="7"/>
  <c r="L1152" i="7"/>
  <c r="M1152" i="7"/>
  <c r="N1152" i="7"/>
  <c r="O1152" i="7"/>
  <c r="P1152" i="7"/>
  <c r="Q1152" i="7"/>
  <c r="R1152" i="7"/>
  <c r="S1152" i="7"/>
  <c r="T1152" i="7"/>
  <c r="U1152" i="7"/>
  <c r="V1152" i="7"/>
  <c r="W1152" i="7"/>
  <c r="X1152" i="7"/>
  <c r="Y1152" i="7"/>
  <c r="Z1152" i="7"/>
  <c r="AA1152" i="7"/>
  <c r="AB1152" i="7"/>
  <c r="AD1152" i="7"/>
  <c r="AE1152" i="7"/>
  <c r="E437" i="7"/>
  <c r="F437" i="7"/>
  <c r="G437" i="7"/>
  <c r="H437" i="7"/>
  <c r="I437" i="7"/>
  <c r="J437" i="7"/>
  <c r="K437" i="7"/>
  <c r="L437" i="7"/>
  <c r="M437" i="7"/>
  <c r="O437" i="7"/>
  <c r="P437" i="7"/>
  <c r="Q437" i="7"/>
  <c r="R437" i="7"/>
  <c r="S437" i="7"/>
  <c r="T437" i="7"/>
  <c r="U437" i="7"/>
  <c r="V437" i="7"/>
  <c r="W437" i="7"/>
  <c r="X437" i="7"/>
  <c r="Y437" i="7"/>
  <c r="Z437" i="7"/>
  <c r="AA437" i="7"/>
  <c r="AB437" i="7"/>
  <c r="AD437" i="7"/>
  <c r="AE437" i="7"/>
  <c r="D1153" i="7" l="1"/>
  <c r="D1152" i="7" s="1"/>
  <c r="N293" i="7" l="1"/>
  <c r="I312" i="7"/>
  <c r="R167" i="7"/>
  <c r="G247" i="7"/>
  <c r="N507" i="7" l="1"/>
  <c r="N335" i="7"/>
  <c r="R231" i="7" l="1"/>
  <c r="AD486" i="7" l="1"/>
  <c r="AD167" i="7"/>
  <c r="AC486" i="7" l="1"/>
  <c r="R513" i="7"/>
  <c r="AC293" i="7"/>
  <c r="D293" i="7" s="1"/>
  <c r="E287" i="7"/>
  <c r="F287" i="7"/>
  <c r="G287" i="7"/>
  <c r="H287" i="7"/>
  <c r="I287" i="7"/>
  <c r="J287" i="7"/>
  <c r="K287" i="7"/>
  <c r="L287" i="7"/>
  <c r="M287" i="7"/>
  <c r="N287" i="7"/>
  <c r="O287" i="7"/>
  <c r="P287" i="7"/>
  <c r="Q287" i="7"/>
  <c r="S287" i="7"/>
  <c r="T287" i="7"/>
  <c r="U287" i="7"/>
  <c r="V287" i="7"/>
  <c r="W287" i="7"/>
  <c r="X287" i="7"/>
  <c r="Y287" i="7"/>
  <c r="Z287" i="7"/>
  <c r="AA287" i="7"/>
  <c r="AB287" i="7"/>
  <c r="AD287" i="7"/>
  <c r="AE287" i="7"/>
  <c r="AC207" i="7"/>
  <c r="AC206" i="7"/>
  <c r="D206" i="7" s="1"/>
  <c r="AC193" i="7"/>
  <c r="N317" i="7"/>
  <c r="AD552" i="7"/>
  <c r="E544" i="7"/>
  <c r="F544" i="7"/>
  <c r="H544" i="7"/>
  <c r="I544" i="7"/>
  <c r="J544" i="7"/>
  <c r="K544" i="7"/>
  <c r="L544" i="7"/>
  <c r="M544" i="7"/>
  <c r="N544" i="7"/>
  <c r="O544" i="7"/>
  <c r="P544" i="7"/>
  <c r="Q544" i="7"/>
  <c r="R544" i="7"/>
  <c r="S544" i="7"/>
  <c r="T544" i="7"/>
  <c r="U544" i="7"/>
  <c r="V544" i="7"/>
  <c r="W544" i="7"/>
  <c r="X544" i="7"/>
  <c r="Y544" i="7"/>
  <c r="Z544" i="7"/>
  <c r="AA544" i="7"/>
  <c r="AB544" i="7"/>
  <c r="AE544" i="7"/>
  <c r="AC552" i="7"/>
  <c r="AC551" i="7"/>
  <c r="F553" i="7"/>
  <c r="E336" i="7"/>
  <c r="F336" i="7"/>
  <c r="G336" i="7"/>
  <c r="H336" i="7"/>
  <c r="I336" i="7"/>
  <c r="J336" i="7"/>
  <c r="K336" i="7"/>
  <c r="L336" i="7"/>
  <c r="M336" i="7"/>
  <c r="O336" i="7"/>
  <c r="P336" i="7"/>
  <c r="Q336" i="7"/>
  <c r="S336" i="7"/>
  <c r="T336" i="7"/>
  <c r="U336" i="7"/>
  <c r="V336" i="7"/>
  <c r="W336" i="7"/>
  <c r="X336" i="7"/>
  <c r="Y336" i="7"/>
  <c r="Z336" i="7"/>
  <c r="AA336" i="7"/>
  <c r="AB336" i="7"/>
  <c r="AD336" i="7"/>
  <c r="AE336" i="7"/>
  <c r="AC335" i="7"/>
  <c r="D552" i="7" l="1"/>
  <c r="D207" i="7"/>
  <c r="N336" i="7"/>
  <c r="D353" i="7"/>
  <c r="D551" i="7"/>
  <c r="N511" i="7" l="1"/>
  <c r="R541" i="7"/>
  <c r="N400" i="7"/>
  <c r="N285" i="7"/>
  <c r="N367" i="7"/>
  <c r="N488" i="7"/>
  <c r="AD367" i="7"/>
  <c r="N426" i="7"/>
  <c r="N543" i="7"/>
  <c r="N244" i="7"/>
  <c r="AC535" i="7"/>
  <c r="N515" i="7"/>
  <c r="N298" i="7"/>
  <c r="U433" i="7"/>
  <c r="AC498" i="7"/>
  <c r="D498" i="7" s="1"/>
  <c r="N419" i="7"/>
  <c r="N421" i="7"/>
  <c r="N420" i="7"/>
  <c r="N383" i="7"/>
  <c r="AC392" i="7"/>
  <c r="D392" i="7" s="1"/>
  <c r="R166" i="7"/>
  <c r="AC167" i="7"/>
  <c r="D167" i="7" s="1"/>
  <c r="AC278" i="7"/>
  <c r="D278" i="7" s="1"/>
  <c r="AC383" i="7" l="1"/>
  <c r="N378" i="7"/>
  <c r="N320" i="7"/>
  <c r="G374" i="7"/>
  <c r="N831" i="7"/>
  <c r="N830" i="7" s="1"/>
  <c r="N538" i="7"/>
  <c r="E539" i="7" l="1"/>
  <c r="F539" i="7"/>
  <c r="G539" i="7"/>
  <c r="H539" i="7"/>
  <c r="I539" i="7"/>
  <c r="J539" i="7"/>
  <c r="K539" i="7"/>
  <c r="L539" i="7"/>
  <c r="M539" i="7"/>
  <c r="O539" i="7"/>
  <c r="P539" i="7"/>
  <c r="Q539" i="7"/>
  <c r="R539" i="7"/>
  <c r="S539" i="7"/>
  <c r="T539" i="7"/>
  <c r="U539" i="7"/>
  <c r="V539" i="7"/>
  <c r="W539" i="7"/>
  <c r="X539" i="7"/>
  <c r="Y539" i="7"/>
  <c r="Z539" i="7"/>
  <c r="AA539" i="7"/>
  <c r="AB539" i="7"/>
  <c r="AD539" i="7"/>
  <c r="AE539" i="7"/>
  <c r="E510" i="7"/>
  <c r="F510" i="7"/>
  <c r="G510" i="7"/>
  <c r="H510" i="7"/>
  <c r="I510" i="7"/>
  <c r="J510" i="7"/>
  <c r="K510" i="7"/>
  <c r="L510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D510" i="7"/>
  <c r="AE510" i="7"/>
  <c r="E456" i="7"/>
  <c r="F456" i="7"/>
  <c r="G456" i="7"/>
  <c r="H456" i="7"/>
  <c r="I456" i="7"/>
  <c r="J456" i="7"/>
  <c r="K456" i="7"/>
  <c r="L456" i="7"/>
  <c r="M456" i="7"/>
  <c r="O456" i="7"/>
  <c r="P456" i="7"/>
  <c r="Q456" i="7"/>
  <c r="R456" i="7"/>
  <c r="S456" i="7"/>
  <c r="T456" i="7"/>
  <c r="U456" i="7"/>
  <c r="V456" i="7"/>
  <c r="W456" i="7"/>
  <c r="X456" i="7"/>
  <c r="Y456" i="7"/>
  <c r="Z456" i="7"/>
  <c r="AA456" i="7"/>
  <c r="AB456" i="7"/>
  <c r="AD456" i="7"/>
  <c r="AE456" i="7"/>
  <c r="E429" i="7"/>
  <c r="F429" i="7"/>
  <c r="G429" i="7"/>
  <c r="H429" i="7"/>
  <c r="I429" i="7"/>
  <c r="J429" i="7"/>
  <c r="K429" i="7"/>
  <c r="L429" i="7"/>
  <c r="M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D429" i="7"/>
  <c r="AE429" i="7"/>
  <c r="E372" i="7"/>
  <c r="F372" i="7"/>
  <c r="G372" i="7"/>
  <c r="I372" i="7"/>
  <c r="J372" i="7"/>
  <c r="K372" i="7"/>
  <c r="L372" i="7"/>
  <c r="M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D372" i="7"/>
  <c r="AE372" i="7"/>
  <c r="E354" i="7"/>
  <c r="F354" i="7"/>
  <c r="G354" i="7"/>
  <c r="H354" i="7"/>
  <c r="I354" i="7"/>
  <c r="J354" i="7"/>
  <c r="K354" i="7"/>
  <c r="L354" i="7"/>
  <c r="M354" i="7"/>
  <c r="N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D354" i="7"/>
  <c r="AE354" i="7"/>
  <c r="E318" i="7"/>
  <c r="F318" i="7"/>
  <c r="G318" i="7"/>
  <c r="H318" i="7"/>
  <c r="I318" i="7"/>
  <c r="J318" i="7"/>
  <c r="K318" i="7"/>
  <c r="L318" i="7"/>
  <c r="M318" i="7"/>
  <c r="O318" i="7"/>
  <c r="P318" i="7"/>
  <c r="Q318" i="7"/>
  <c r="S318" i="7"/>
  <c r="T318" i="7"/>
  <c r="U318" i="7"/>
  <c r="V318" i="7"/>
  <c r="W318" i="7"/>
  <c r="X318" i="7"/>
  <c r="Y318" i="7"/>
  <c r="Z318" i="7"/>
  <c r="AA318" i="7"/>
  <c r="AB318" i="7"/>
  <c r="AD318" i="7"/>
  <c r="AE318" i="7"/>
  <c r="E279" i="7"/>
  <c r="F279" i="7"/>
  <c r="G279" i="7"/>
  <c r="H279" i="7"/>
  <c r="I279" i="7"/>
  <c r="J279" i="7"/>
  <c r="K279" i="7"/>
  <c r="L279" i="7"/>
  <c r="M279" i="7"/>
  <c r="O279" i="7"/>
  <c r="P279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D279" i="7"/>
  <c r="AE279" i="7"/>
  <c r="AE243" i="7"/>
  <c r="E243" i="7"/>
  <c r="F243" i="7"/>
  <c r="G243" i="7"/>
  <c r="H243" i="7"/>
  <c r="I243" i="7"/>
  <c r="J243" i="7"/>
  <c r="K243" i="7"/>
  <c r="L243" i="7"/>
  <c r="M243" i="7"/>
  <c r="O243" i="7"/>
  <c r="P243" i="7"/>
  <c r="Q243" i="7"/>
  <c r="R243" i="7"/>
  <c r="S243" i="7"/>
  <c r="T243" i="7"/>
  <c r="U243" i="7"/>
  <c r="V243" i="7"/>
  <c r="W243" i="7"/>
  <c r="X243" i="7"/>
  <c r="Y243" i="7"/>
  <c r="Z243" i="7"/>
  <c r="AA243" i="7"/>
  <c r="AB243" i="7"/>
  <c r="AD243" i="7"/>
  <c r="E209" i="7"/>
  <c r="F209" i="7"/>
  <c r="H209" i="7"/>
  <c r="I209" i="7"/>
  <c r="J209" i="7"/>
  <c r="K209" i="7"/>
  <c r="L209" i="7"/>
  <c r="M209" i="7"/>
  <c r="O209" i="7"/>
  <c r="P209" i="7"/>
  <c r="Q209" i="7"/>
  <c r="R209" i="7"/>
  <c r="S209" i="7"/>
  <c r="T209" i="7"/>
  <c r="U209" i="7"/>
  <c r="V209" i="7"/>
  <c r="W209" i="7"/>
  <c r="X209" i="7"/>
  <c r="Y209" i="7"/>
  <c r="Z209" i="7"/>
  <c r="AA209" i="7"/>
  <c r="AB209" i="7"/>
  <c r="AE209" i="7"/>
  <c r="D249" i="7" l="1"/>
  <c r="D375" i="7"/>
  <c r="D458" i="7"/>
  <c r="D472" i="7"/>
  <c r="D471" i="7" s="1"/>
  <c r="AE471" i="7"/>
  <c r="AD471" i="7"/>
  <c r="AC471" i="7"/>
  <c r="AB471" i="7"/>
  <c r="AA471" i="7"/>
  <c r="Z471" i="7"/>
  <c r="Y471" i="7"/>
  <c r="X471" i="7"/>
  <c r="W471" i="7"/>
  <c r="V471" i="7"/>
  <c r="U471" i="7"/>
  <c r="T471" i="7"/>
  <c r="S471" i="7"/>
  <c r="R471" i="7"/>
  <c r="Q471" i="7"/>
  <c r="P471" i="7"/>
  <c r="O471" i="7"/>
  <c r="N471" i="7"/>
  <c r="M471" i="7"/>
  <c r="L471" i="7"/>
  <c r="K471" i="7"/>
  <c r="J471" i="7"/>
  <c r="I471" i="7"/>
  <c r="H471" i="7"/>
  <c r="G471" i="7"/>
  <c r="F471" i="7"/>
  <c r="E471" i="7"/>
  <c r="AC440" i="7"/>
  <c r="D440" i="7" s="1"/>
  <c r="AC205" i="7" l="1"/>
  <c r="D205" i="7" s="1"/>
  <c r="D335" i="7"/>
  <c r="AC352" i="7"/>
  <c r="D352" i="7" s="1"/>
  <c r="AC351" i="7"/>
  <c r="D351" i="7" s="1"/>
  <c r="AC541" i="7"/>
  <c r="D541" i="7" s="1"/>
  <c r="D121" i="7"/>
  <c r="D122" i="7"/>
  <c r="D126" i="7"/>
  <c r="D127" i="7"/>
  <c r="D123" i="7"/>
  <c r="D124" i="7"/>
  <c r="AC334" i="7"/>
  <c r="D334" i="7" s="1"/>
  <c r="D232" i="7"/>
  <c r="D234" i="7"/>
  <c r="D235" i="7"/>
  <c r="D236" i="7"/>
  <c r="D237" i="7"/>
  <c r="D238" i="7"/>
  <c r="D239" i="7"/>
  <c r="D240" i="7"/>
  <c r="D241" i="7"/>
  <c r="D242" i="7"/>
  <c r="AC360" i="7"/>
  <c r="D360" i="7" s="1"/>
  <c r="AC359" i="7"/>
  <c r="D359" i="7" s="1"/>
  <c r="AC350" i="7"/>
  <c r="D350" i="7" s="1"/>
  <c r="AC349" i="7"/>
  <c r="D349" i="7" s="1"/>
  <c r="D128" i="7"/>
  <c r="D125" i="7"/>
  <c r="AC536" i="7"/>
  <c r="J103" i="9" l="1"/>
  <c r="L103" i="9"/>
  <c r="I103" i="9"/>
  <c r="P103" i="9" s="1"/>
  <c r="J130" i="9"/>
  <c r="K130" i="9"/>
  <c r="L130" i="9"/>
  <c r="I130" i="9"/>
  <c r="P130" i="9" s="1"/>
  <c r="J153" i="9"/>
  <c r="K153" i="9"/>
  <c r="L153" i="9"/>
  <c r="I153" i="9"/>
  <c r="P153" i="9" s="1"/>
  <c r="J157" i="9"/>
  <c r="L157" i="9"/>
  <c r="I157" i="9"/>
  <c r="P157" i="9" s="1"/>
  <c r="J186" i="9"/>
  <c r="K186" i="9"/>
  <c r="L186" i="9"/>
  <c r="I186" i="9"/>
  <c r="P186" i="9" s="1"/>
  <c r="J188" i="9"/>
  <c r="K188" i="9"/>
  <c r="L188" i="9"/>
  <c r="I188" i="9"/>
  <c r="P188" i="9" s="1"/>
  <c r="J190" i="9"/>
  <c r="K190" i="9"/>
  <c r="L190" i="9"/>
  <c r="I190" i="9"/>
  <c r="P190" i="9" s="1"/>
  <c r="J192" i="9"/>
  <c r="K192" i="9"/>
  <c r="L192" i="9"/>
  <c r="I192" i="9"/>
  <c r="P192" i="9" s="1"/>
  <c r="B194" i="9"/>
  <c r="B193" i="9"/>
  <c r="B191" i="9"/>
  <c r="B189" i="9"/>
  <c r="B187" i="9"/>
  <c r="B185" i="9"/>
  <c r="B183" i="9"/>
  <c r="B181" i="9"/>
  <c r="B179" i="9"/>
  <c r="B178" i="9"/>
  <c r="B177" i="9"/>
  <c r="B175" i="9"/>
  <c r="B173" i="9"/>
  <c r="B171" i="9"/>
  <c r="B170" i="9"/>
  <c r="B168" i="9"/>
  <c r="B167" i="9"/>
  <c r="B165" i="9"/>
  <c r="B163" i="9"/>
  <c r="B161" i="9"/>
  <c r="B160" i="9"/>
  <c r="B159" i="9"/>
  <c r="B158" i="9"/>
  <c r="B156" i="9"/>
  <c r="B154" i="9"/>
  <c r="B152" i="9"/>
  <c r="B151" i="9"/>
  <c r="B149" i="9"/>
  <c r="B148" i="9"/>
  <c r="B147" i="9"/>
  <c r="B146" i="9"/>
  <c r="B145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2" i="9"/>
  <c r="B101" i="9"/>
  <c r="B100" i="9"/>
  <c r="B99" i="9"/>
  <c r="B97" i="9"/>
  <c r="B96" i="9"/>
  <c r="B95" i="9"/>
  <c r="B94" i="9"/>
  <c r="B93" i="9"/>
  <c r="B92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3" i="9"/>
  <c r="B72" i="9"/>
  <c r="B70" i="9"/>
  <c r="B69" i="9"/>
  <c r="B68" i="9"/>
  <c r="B67" i="9"/>
  <c r="B66" i="9"/>
  <c r="B65" i="9"/>
  <c r="L184" i="9" l="1"/>
  <c r="K184" i="9"/>
  <c r="J184" i="9"/>
  <c r="I184" i="9"/>
  <c r="P184" i="9" s="1"/>
  <c r="L182" i="9"/>
  <c r="K182" i="9"/>
  <c r="J182" i="9"/>
  <c r="I182" i="9"/>
  <c r="P182" i="9" s="1"/>
  <c r="L180" i="9"/>
  <c r="K180" i="9"/>
  <c r="J180" i="9"/>
  <c r="I180" i="9"/>
  <c r="P180" i="9" s="1"/>
  <c r="L176" i="9"/>
  <c r="K176" i="9"/>
  <c r="J176" i="9"/>
  <c r="I176" i="9"/>
  <c r="P176" i="9" s="1"/>
  <c r="L174" i="9"/>
  <c r="K174" i="9"/>
  <c r="J174" i="9"/>
  <c r="I174" i="9"/>
  <c r="P174" i="9" s="1"/>
  <c r="L172" i="9"/>
  <c r="K172" i="9"/>
  <c r="J172" i="9"/>
  <c r="I172" i="9"/>
  <c r="P172" i="9" s="1"/>
  <c r="L169" i="9"/>
  <c r="K169" i="9"/>
  <c r="J169" i="9"/>
  <c r="I169" i="9"/>
  <c r="P169" i="9" s="1"/>
  <c r="L166" i="9"/>
  <c r="K166" i="9"/>
  <c r="J166" i="9"/>
  <c r="I166" i="9"/>
  <c r="P166" i="9" s="1"/>
  <c r="L164" i="9"/>
  <c r="K164" i="9"/>
  <c r="J164" i="9"/>
  <c r="I164" i="9"/>
  <c r="P164" i="9" s="1"/>
  <c r="L162" i="9"/>
  <c r="K162" i="9"/>
  <c r="J162" i="9"/>
  <c r="I162" i="9"/>
  <c r="P162" i="9" s="1"/>
  <c r="K158" i="9"/>
  <c r="K157" i="9" s="1"/>
  <c r="L155" i="9"/>
  <c r="K155" i="9"/>
  <c r="J155" i="9"/>
  <c r="I155" i="9"/>
  <c r="P155" i="9" s="1"/>
  <c r="L150" i="9"/>
  <c r="K150" i="9"/>
  <c r="J150" i="9"/>
  <c r="I150" i="9"/>
  <c r="P150" i="9" s="1"/>
  <c r="L144" i="9"/>
  <c r="K144" i="9"/>
  <c r="J144" i="9"/>
  <c r="I144" i="9"/>
  <c r="P144" i="9" s="1"/>
  <c r="K114" i="9"/>
  <c r="K103" i="9" s="1"/>
  <c r="L98" i="9"/>
  <c r="K98" i="9"/>
  <c r="J98" i="9"/>
  <c r="I98" i="9"/>
  <c r="P98" i="9" s="1"/>
  <c r="L91" i="9"/>
  <c r="K91" i="9"/>
  <c r="J91" i="9"/>
  <c r="I91" i="9"/>
  <c r="P91" i="9" s="1"/>
  <c r="L71" i="9"/>
  <c r="K71" i="9"/>
  <c r="J71" i="9"/>
  <c r="I71" i="9"/>
  <c r="P71" i="9" s="1"/>
  <c r="L64" i="9"/>
  <c r="K64" i="9"/>
  <c r="J64" i="9"/>
  <c r="I64" i="9"/>
  <c r="L63" i="9" l="1"/>
  <c r="I63" i="9"/>
  <c r="P63" i="9" s="1"/>
  <c r="P64" i="9"/>
  <c r="K63" i="9"/>
  <c r="J63" i="9"/>
  <c r="AE144" i="8" l="1"/>
  <c r="F144" i="8" s="1"/>
  <c r="AE128" i="8"/>
  <c r="F128" i="8" s="1"/>
  <c r="AE195" i="8"/>
  <c r="F195" i="8" s="1"/>
  <c r="AE194" i="8"/>
  <c r="F194" i="8" s="1"/>
  <c r="AE192" i="8"/>
  <c r="F192" i="8" s="1"/>
  <c r="F191" i="8" s="1"/>
  <c r="AE162" i="8"/>
  <c r="F162" i="8" s="1"/>
  <c r="AE130" i="8"/>
  <c r="F130" i="8" s="1"/>
  <c r="AE129" i="8"/>
  <c r="F129" i="8" s="1"/>
  <c r="AE90" i="8"/>
  <c r="F90" i="8" s="1"/>
  <c r="AE89" i="8"/>
  <c r="F89" i="8" s="1"/>
  <c r="AE88" i="8"/>
  <c r="F88" i="8" s="1"/>
  <c r="AE87" i="8"/>
  <c r="F87" i="8" s="1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Z191" i="8"/>
  <c r="AA191" i="8"/>
  <c r="AB191" i="8"/>
  <c r="AC191" i="8"/>
  <c r="AD191" i="8"/>
  <c r="AE191" i="8"/>
  <c r="AF191" i="8"/>
  <c r="AG191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W193" i="8"/>
  <c r="X193" i="8"/>
  <c r="Y193" i="8"/>
  <c r="Z193" i="8"/>
  <c r="AA193" i="8"/>
  <c r="AB193" i="8"/>
  <c r="AC193" i="8"/>
  <c r="AD193" i="8"/>
  <c r="AF193" i="8"/>
  <c r="AG193" i="8"/>
  <c r="E193" i="8"/>
  <c r="E191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S158" i="8"/>
  <c r="T158" i="8"/>
  <c r="U158" i="8"/>
  <c r="V158" i="8"/>
  <c r="W158" i="8"/>
  <c r="X158" i="8"/>
  <c r="Y158" i="8"/>
  <c r="Z158" i="8"/>
  <c r="AA158" i="8"/>
  <c r="AB158" i="8"/>
  <c r="AC158" i="8"/>
  <c r="AD158" i="8"/>
  <c r="AF158" i="8"/>
  <c r="AG158" i="8"/>
  <c r="E158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W154" i="8"/>
  <c r="X154" i="8"/>
  <c r="Y154" i="8"/>
  <c r="Z154" i="8"/>
  <c r="AA154" i="8"/>
  <c r="AB154" i="8"/>
  <c r="AC154" i="8"/>
  <c r="AD154" i="8"/>
  <c r="AF154" i="8"/>
  <c r="AG154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Z131" i="8"/>
  <c r="AA131" i="8"/>
  <c r="AB131" i="8"/>
  <c r="AC131" i="8"/>
  <c r="AD131" i="8"/>
  <c r="AF131" i="8"/>
  <c r="AG131" i="8"/>
  <c r="E131" i="8"/>
  <c r="E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F104" i="8"/>
  <c r="AG104" i="8"/>
  <c r="E75" i="8"/>
  <c r="B195" i="8"/>
  <c r="B194" i="8"/>
  <c r="B192" i="8"/>
  <c r="B190" i="8"/>
  <c r="B188" i="8"/>
  <c r="B186" i="8"/>
  <c r="B184" i="8"/>
  <c r="B182" i="8"/>
  <c r="B180" i="8"/>
  <c r="B179" i="8"/>
  <c r="B178" i="8"/>
  <c r="B176" i="8"/>
  <c r="B174" i="8"/>
  <c r="B172" i="8"/>
  <c r="B171" i="8"/>
  <c r="B169" i="8"/>
  <c r="B168" i="8"/>
  <c r="B166" i="8"/>
  <c r="B164" i="8"/>
  <c r="B162" i="8"/>
  <c r="B161" i="8"/>
  <c r="B160" i="8"/>
  <c r="B159" i="8"/>
  <c r="B157" i="8"/>
  <c r="B155" i="8"/>
  <c r="B153" i="8"/>
  <c r="B152" i="8"/>
  <c r="B150" i="8"/>
  <c r="B149" i="8"/>
  <c r="B148" i="8"/>
  <c r="B147" i="8"/>
  <c r="B146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3" i="8"/>
  <c r="B102" i="8"/>
  <c r="B101" i="8"/>
  <c r="B100" i="8"/>
  <c r="B98" i="8"/>
  <c r="B97" i="8"/>
  <c r="B96" i="8"/>
  <c r="B95" i="8"/>
  <c r="B94" i="8"/>
  <c r="B93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4" i="8"/>
  <c r="B73" i="8"/>
  <c r="B71" i="8"/>
  <c r="B70" i="8"/>
  <c r="B69" i="8"/>
  <c r="B68" i="8"/>
  <c r="B67" i="8"/>
  <c r="AE193" i="8" l="1"/>
  <c r="F193" i="8"/>
  <c r="B66" i="8" l="1"/>
  <c r="AE190" i="8" l="1"/>
  <c r="F190" i="8" s="1"/>
  <c r="F189" i="8" s="1"/>
  <c r="AG189" i="8"/>
  <c r="AF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E189" i="8"/>
  <c r="AE188" i="8"/>
  <c r="F188" i="8" s="1"/>
  <c r="F187" i="8" s="1"/>
  <c r="AG187" i="8"/>
  <c r="AF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E187" i="8"/>
  <c r="AE186" i="8"/>
  <c r="F186" i="8" s="1"/>
  <c r="F185" i="8" s="1"/>
  <c r="AG185" i="8"/>
  <c r="AF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E185" i="8"/>
  <c r="AE184" i="8"/>
  <c r="F184" i="8" s="1"/>
  <c r="F183" i="8" s="1"/>
  <c r="AG183" i="8"/>
  <c r="AF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E183" i="8"/>
  <c r="AE182" i="8"/>
  <c r="F182" i="8" s="1"/>
  <c r="F181" i="8" s="1"/>
  <c r="AG181" i="8"/>
  <c r="AF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E181" i="8"/>
  <c r="AE180" i="8"/>
  <c r="F180" i="8" s="1"/>
  <c r="AE179" i="8"/>
  <c r="F179" i="8" s="1"/>
  <c r="AE178" i="8"/>
  <c r="F178" i="8" s="1"/>
  <c r="AG177" i="8"/>
  <c r="AF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J177" i="8"/>
  <c r="I177" i="8"/>
  <c r="H177" i="8"/>
  <c r="G177" i="8"/>
  <c r="E177" i="8"/>
  <c r="AE176" i="8"/>
  <c r="F176" i="8" s="1"/>
  <c r="F175" i="8" s="1"/>
  <c r="AG175" i="8"/>
  <c r="AF175" i="8"/>
  <c r="AD175" i="8"/>
  <c r="AC175" i="8"/>
  <c r="AB175" i="8"/>
  <c r="AA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E175" i="8"/>
  <c r="AE174" i="8"/>
  <c r="F174" i="8" s="1"/>
  <c r="F173" i="8" s="1"/>
  <c r="AG173" i="8"/>
  <c r="AF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E173" i="8"/>
  <c r="AE172" i="8"/>
  <c r="F172" i="8" s="1"/>
  <c r="AE171" i="8"/>
  <c r="F171" i="8" s="1"/>
  <c r="AG170" i="8"/>
  <c r="AF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E170" i="8"/>
  <c r="AE169" i="8"/>
  <c r="F169" i="8" s="1"/>
  <c r="AE168" i="8"/>
  <c r="F168" i="8" s="1"/>
  <c r="AG167" i="8"/>
  <c r="AF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E167" i="8"/>
  <c r="AE166" i="8"/>
  <c r="F166" i="8" s="1"/>
  <c r="F165" i="8" s="1"/>
  <c r="AG165" i="8"/>
  <c r="AF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E165" i="8"/>
  <c r="AE164" i="8"/>
  <c r="F164" i="8" s="1"/>
  <c r="F163" i="8" s="1"/>
  <c r="AG163" i="8"/>
  <c r="AF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E163" i="8"/>
  <c r="AE161" i="8"/>
  <c r="F161" i="8" s="1"/>
  <c r="AE160" i="8"/>
  <c r="F160" i="8" s="1"/>
  <c r="AE159" i="8"/>
  <c r="AE157" i="8"/>
  <c r="F157" i="8" s="1"/>
  <c r="F156" i="8" s="1"/>
  <c r="AG156" i="8"/>
  <c r="AF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E156" i="8"/>
  <c r="AE155" i="8"/>
  <c r="E154" i="8"/>
  <c r="AE153" i="8"/>
  <c r="F153" i="8" s="1"/>
  <c r="AE152" i="8"/>
  <c r="F152" i="8" s="1"/>
  <c r="AG151" i="8"/>
  <c r="AF151" i="8"/>
  <c r="AD151" i="8"/>
  <c r="AC151" i="8"/>
  <c r="AB151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E151" i="8"/>
  <c r="AE150" i="8"/>
  <c r="F150" i="8" s="1"/>
  <c r="AE149" i="8"/>
  <c r="F149" i="8" s="1"/>
  <c r="AE148" i="8"/>
  <c r="F148" i="8" s="1"/>
  <c r="AE147" i="8"/>
  <c r="F147" i="8" s="1"/>
  <c r="AE146" i="8"/>
  <c r="F146" i="8" s="1"/>
  <c r="AG145" i="8"/>
  <c r="AF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E145" i="8"/>
  <c r="AE143" i="8"/>
  <c r="F143" i="8" s="1"/>
  <c r="AE142" i="8"/>
  <c r="F142" i="8" s="1"/>
  <c r="AE141" i="8"/>
  <c r="F141" i="8" s="1"/>
  <c r="AE140" i="8"/>
  <c r="F140" i="8" s="1"/>
  <c r="AE139" i="8"/>
  <c r="F139" i="8" s="1"/>
  <c r="AE138" i="8"/>
  <c r="F138" i="8" s="1"/>
  <c r="AE137" i="8"/>
  <c r="F137" i="8" s="1"/>
  <c r="AE136" i="8"/>
  <c r="F136" i="8" s="1"/>
  <c r="AE135" i="8"/>
  <c r="F135" i="8" s="1"/>
  <c r="AE134" i="8"/>
  <c r="F134" i="8" s="1"/>
  <c r="AE133" i="8"/>
  <c r="F133" i="8" s="1"/>
  <c r="AE132" i="8"/>
  <c r="AE127" i="8"/>
  <c r="F127" i="8" s="1"/>
  <c r="AE126" i="8"/>
  <c r="F126" i="8" s="1"/>
  <c r="AE125" i="8"/>
  <c r="F125" i="8" s="1"/>
  <c r="AE124" i="8"/>
  <c r="F124" i="8" s="1"/>
  <c r="AE123" i="8"/>
  <c r="F123" i="8" s="1"/>
  <c r="AE122" i="8"/>
  <c r="F122" i="8" s="1"/>
  <c r="AE121" i="8"/>
  <c r="F121" i="8" s="1"/>
  <c r="AE120" i="8"/>
  <c r="F120" i="8" s="1"/>
  <c r="AE119" i="8"/>
  <c r="F119" i="8" s="1"/>
  <c r="AE118" i="8"/>
  <c r="F118" i="8" s="1"/>
  <c r="AE117" i="8"/>
  <c r="F117" i="8" s="1"/>
  <c r="AE116" i="8"/>
  <c r="F116" i="8" s="1"/>
  <c r="AE115" i="8"/>
  <c r="F115" i="8" s="1"/>
  <c r="AE114" i="8"/>
  <c r="F114" i="8" s="1"/>
  <c r="AE113" i="8"/>
  <c r="F113" i="8" s="1"/>
  <c r="AE112" i="8"/>
  <c r="F112" i="8" s="1"/>
  <c r="AE111" i="8"/>
  <c r="F111" i="8" s="1"/>
  <c r="AE110" i="8"/>
  <c r="F110" i="8" s="1"/>
  <c r="AE109" i="8"/>
  <c r="F109" i="8" s="1"/>
  <c r="AE108" i="8"/>
  <c r="F108" i="8" s="1"/>
  <c r="AE107" i="8"/>
  <c r="F107" i="8" s="1"/>
  <c r="AE106" i="8"/>
  <c r="F106" i="8" s="1"/>
  <c r="AE105" i="8"/>
  <c r="AE103" i="8"/>
  <c r="F103" i="8" s="1"/>
  <c r="AE102" i="8"/>
  <c r="F102" i="8" s="1"/>
  <c r="AE101" i="8"/>
  <c r="F101" i="8" s="1"/>
  <c r="AE100" i="8"/>
  <c r="F100" i="8" s="1"/>
  <c r="AG99" i="8"/>
  <c r="AF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E99" i="8"/>
  <c r="AE98" i="8"/>
  <c r="F98" i="8" s="1"/>
  <c r="AE97" i="8"/>
  <c r="F97" i="8" s="1"/>
  <c r="AE96" i="8"/>
  <c r="F96" i="8" s="1"/>
  <c r="AE95" i="8"/>
  <c r="F95" i="8" s="1"/>
  <c r="AE94" i="8"/>
  <c r="F94" i="8" s="1"/>
  <c r="AE93" i="8"/>
  <c r="F93" i="8" s="1"/>
  <c r="AG92" i="8"/>
  <c r="AF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E92" i="8"/>
  <c r="AE86" i="8"/>
  <c r="F86" i="8" s="1"/>
  <c r="AE85" i="8"/>
  <c r="F85" i="8" s="1"/>
  <c r="AE84" i="8"/>
  <c r="F84" i="8" s="1"/>
  <c r="AE83" i="8"/>
  <c r="F83" i="8" s="1"/>
  <c r="AE82" i="8"/>
  <c r="F82" i="8" s="1"/>
  <c r="AE81" i="8"/>
  <c r="F81" i="8" s="1"/>
  <c r="AE80" i="8"/>
  <c r="F80" i="8" s="1"/>
  <c r="AE79" i="8"/>
  <c r="F79" i="8" s="1"/>
  <c r="AE78" i="8"/>
  <c r="F78" i="8" s="1"/>
  <c r="AE77" i="8"/>
  <c r="F77" i="8" s="1"/>
  <c r="AE76" i="8"/>
  <c r="AE75" i="8" s="1"/>
  <c r="AE74" i="8"/>
  <c r="F74" i="8" s="1"/>
  <c r="AE73" i="8"/>
  <c r="F73" i="8" s="1"/>
  <c r="AG72" i="8"/>
  <c r="AF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E72" i="8"/>
  <c r="AE71" i="8"/>
  <c r="F71" i="8" s="1"/>
  <c r="AE70" i="8"/>
  <c r="F70" i="8" s="1"/>
  <c r="AE69" i="8"/>
  <c r="F69" i="8" s="1"/>
  <c r="AE68" i="8"/>
  <c r="F68" i="8" s="1"/>
  <c r="AE67" i="8"/>
  <c r="F67" i="8" s="1"/>
  <c r="AE66" i="8"/>
  <c r="F66" i="8" s="1"/>
  <c r="AG65" i="8"/>
  <c r="AG64" i="8" s="1"/>
  <c r="AF65" i="8"/>
  <c r="AD65" i="8"/>
  <c r="AC65" i="8"/>
  <c r="AB65" i="8"/>
  <c r="AB64" i="8" s="1"/>
  <c r="AA65" i="8"/>
  <c r="Z65" i="8"/>
  <c r="Y65" i="8"/>
  <c r="X65" i="8"/>
  <c r="X64" i="8" s="1"/>
  <c r="W65" i="8"/>
  <c r="V65" i="8"/>
  <c r="U65" i="8"/>
  <c r="T65" i="8"/>
  <c r="T64" i="8" s="1"/>
  <c r="S65" i="8"/>
  <c r="R65" i="8"/>
  <c r="Q65" i="8"/>
  <c r="P65" i="8"/>
  <c r="P64" i="8" s="1"/>
  <c r="O65" i="8"/>
  <c r="N65" i="8"/>
  <c r="M65" i="8"/>
  <c r="L65" i="8"/>
  <c r="L64" i="8" s="1"/>
  <c r="K65" i="8"/>
  <c r="J65" i="8"/>
  <c r="I65" i="8"/>
  <c r="H65" i="8"/>
  <c r="H64" i="8" s="1"/>
  <c r="G65" i="8"/>
  <c r="E65" i="8"/>
  <c r="M64" i="8" l="1"/>
  <c r="Y64" i="8"/>
  <c r="I64" i="8"/>
  <c r="Q64" i="8"/>
  <c r="U64" i="8"/>
  <c r="AC64" i="8"/>
  <c r="J64" i="8"/>
  <c r="N64" i="8"/>
  <c r="R64" i="8"/>
  <c r="V64" i="8"/>
  <c r="Z64" i="8"/>
  <c r="AD64" i="8"/>
  <c r="G64" i="8"/>
  <c r="K64" i="8"/>
  <c r="O64" i="8"/>
  <c r="S64" i="8"/>
  <c r="W64" i="8"/>
  <c r="AA64" i="8"/>
  <c r="AF64" i="8"/>
  <c r="F92" i="8"/>
  <c r="AE131" i="8"/>
  <c r="F99" i="8"/>
  <c r="F105" i="8"/>
  <c r="F104" i="8" s="1"/>
  <c r="AE104" i="8"/>
  <c r="F76" i="8"/>
  <c r="F75" i="8" s="1"/>
  <c r="F155" i="8"/>
  <c r="F154" i="8" s="1"/>
  <c r="AE154" i="8"/>
  <c r="F65" i="8"/>
  <c r="F159" i="8"/>
  <c r="F158" i="8" s="1"/>
  <c r="AE158" i="8"/>
  <c r="AE156" i="8"/>
  <c r="AE175" i="8"/>
  <c r="F151" i="8"/>
  <c r="F72" i="8"/>
  <c r="F170" i="8"/>
  <c r="AE72" i="8"/>
  <c r="AE99" i="8"/>
  <c r="F132" i="8"/>
  <c r="F131" i="8" s="1"/>
  <c r="AE170" i="8"/>
  <c r="AE177" i="8"/>
  <c r="F167" i="8"/>
  <c r="AE173" i="8"/>
  <c r="F177" i="8"/>
  <c r="F145" i="8"/>
  <c r="AE92" i="8"/>
  <c r="AE145" i="8"/>
  <c r="AE151" i="8"/>
  <c r="AE163" i="8"/>
  <c r="AE165" i="8"/>
  <c r="AE167" i="8"/>
  <c r="AE181" i="8"/>
  <c r="AE183" i="8"/>
  <c r="AE185" i="8"/>
  <c r="AE187" i="8"/>
  <c r="AE189" i="8"/>
  <c r="AE65" i="8"/>
  <c r="AC204" i="7"/>
  <c r="AC203" i="7"/>
  <c r="AC202" i="7"/>
  <c r="AC201" i="7"/>
  <c r="AC200" i="7"/>
  <c r="AC199" i="7"/>
  <c r="AC195" i="7"/>
  <c r="AC194" i="7"/>
  <c r="AC192" i="7"/>
  <c r="AC190" i="7"/>
  <c r="AC189" i="7"/>
  <c r="AC187" i="7"/>
  <c r="AC186" i="7"/>
  <c r="AC185" i="7"/>
  <c r="AC184" i="7"/>
  <c r="AC183" i="7"/>
  <c r="AC182" i="7"/>
  <c r="AC181" i="7"/>
  <c r="AC180" i="7"/>
  <c r="AC179" i="7"/>
  <c r="AC178" i="7"/>
  <c r="AC177" i="7"/>
  <c r="AC175" i="7"/>
  <c r="AC173" i="7"/>
  <c r="AC172" i="7"/>
  <c r="AC171" i="7"/>
  <c r="AC170" i="7"/>
  <c r="AC169" i="7"/>
  <c r="AE64" i="8" l="1"/>
  <c r="F64" i="8"/>
  <c r="AC168" i="7"/>
  <c r="G217" i="7"/>
  <c r="G209" i="7" s="1"/>
  <c r="AD502" i="7" l="1"/>
  <c r="N527" i="7" l="1"/>
  <c r="J13" i="9" l="1"/>
  <c r="L13" i="9"/>
  <c r="I13" i="9"/>
  <c r="P13" i="9" s="1"/>
  <c r="B21" i="9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F61" i="8"/>
  <c r="AG61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G14" i="8"/>
  <c r="S582" i="3"/>
  <c r="AE22" i="8" l="1"/>
  <c r="F22" i="8" s="1"/>
  <c r="E14" i="8"/>
  <c r="B21" i="8"/>
  <c r="B22" i="8"/>
  <c r="D588" i="7"/>
  <c r="J922" i="3" l="1"/>
  <c r="K922" i="3"/>
  <c r="L922" i="3"/>
  <c r="I922" i="3"/>
  <c r="T922" i="3" s="1"/>
  <c r="T745" i="3"/>
  <c r="J689" i="3"/>
  <c r="K689" i="3"/>
  <c r="L689" i="3"/>
  <c r="I689" i="3"/>
  <c r="T689" i="3" s="1"/>
  <c r="T674" i="3"/>
  <c r="J560" i="3"/>
  <c r="K560" i="3"/>
  <c r="L560" i="3"/>
  <c r="I560" i="3"/>
  <c r="T560" i="3" s="1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Q922" i="3"/>
  <c r="R922" i="3"/>
  <c r="Q689" i="3"/>
  <c r="R689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Q560" i="3"/>
  <c r="R560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31" i="3"/>
  <c r="S685" i="3"/>
  <c r="S686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E559" i="7"/>
  <c r="F559" i="7"/>
  <c r="G559" i="7"/>
  <c r="H559" i="7"/>
  <c r="I559" i="7"/>
  <c r="J559" i="7"/>
  <c r="K559" i="7"/>
  <c r="L559" i="7"/>
  <c r="M559" i="7"/>
  <c r="N559" i="7"/>
  <c r="O559" i="7"/>
  <c r="Q559" i="7"/>
  <c r="S559" i="7"/>
  <c r="T559" i="7"/>
  <c r="U559" i="7"/>
  <c r="V559" i="7"/>
  <c r="W559" i="7"/>
  <c r="X559" i="7"/>
  <c r="Y559" i="7"/>
  <c r="Z559" i="7"/>
  <c r="AA559" i="7"/>
  <c r="AB559" i="7"/>
  <c r="AD559" i="7"/>
  <c r="AE559" i="7"/>
  <c r="E553" i="7"/>
  <c r="G553" i="7"/>
  <c r="H553" i="7"/>
  <c r="I553" i="7"/>
  <c r="J553" i="7"/>
  <c r="K553" i="7"/>
  <c r="L553" i="7"/>
  <c r="M553" i="7"/>
  <c r="O553" i="7"/>
  <c r="P553" i="7"/>
  <c r="Q553" i="7"/>
  <c r="R553" i="7"/>
  <c r="S553" i="7"/>
  <c r="T553" i="7"/>
  <c r="U553" i="7"/>
  <c r="V553" i="7"/>
  <c r="W553" i="7"/>
  <c r="X553" i="7"/>
  <c r="Y553" i="7"/>
  <c r="Z553" i="7"/>
  <c r="AA553" i="7"/>
  <c r="AB553" i="7"/>
  <c r="AD553" i="7"/>
  <c r="AE553" i="7"/>
  <c r="E530" i="7"/>
  <c r="F530" i="7"/>
  <c r="G530" i="7"/>
  <c r="H530" i="7"/>
  <c r="I530" i="7"/>
  <c r="J530" i="7"/>
  <c r="K530" i="7"/>
  <c r="L530" i="7"/>
  <c r="M530" i="7"/>
  <c r="O530" i="7"/>
  <c r="P530" i="7"/>
  <c r="Q530" i="7"/>
  <c r="R530" i="7"/>
  <c r="S530" i="7"/>
  <c r="T530" i="7"/>
  <c r="U530" i="7"/>
  <c r="V530" i="7"/>
  <c r="W530" i="7"/>
  <c r="X530" i="7"/>
  <c r="Y530" i="7"/>
  <c r="Z530" i="7"/>
  <c r="AA530" i="7"/>
  <c r="AB530" i="7"/>
  <c r="AD530" i="7"/>
  <c r="AE530" i="7"/>
  <c r="E514" i="7"/>
  <c r="F514" i="7"/>
  <c r="G514" i="7"/>
  <c r="H514" i="7"/>
  <c r="I514" i="7"/>
  <c r="J514" i="7"/>
  <c r="K514" i="7"/>
  <c r="L514" i="7"/>
  <c r="M514" i="7"/>
  <c r="N514" i="7"/>
  <c r="O514" i="7"/>
  <c r="P514" i="7"/>
  <c r="Q514" i="7"/>
  <c r="S514" i="7"/>
  <c r="T514" i="7"/>
  <c r="U514" i="7"/>
  <c r="V514" i="7"/>
  <c r="W514" i="7"/>
  <c r="X514" i="7"/>
  <c r="Y514" i="7"/>
  <c r="Z514" i="7"/>
  <c r="AA514" i="7"/>
  <c r="AB514" i="7"/>
  <c r="AD514" i="7"/>
  <c r="AE514" i="7"/>
  <c r="E501" i="7"/>
  <c r="F501" i="7"/>
  <c r="H501" i="7"/>
  <c r="I501" i="7"/>
  <c r="J501" i="7"/>
  <c r="K501" i="7"/>
  <c r="L501" i="7"/>
  <c r="M501" i="7"/>
  <c r="N501" i="7"/>
  <c r="O501" i="7"/>
  <c r="P501" i="7"/>
  <c r="Q501" i="7"/>
  <c r="R501" i="7"/>
  <c r="S501" i="7"/>
  <c r="T501" i="7"/>
  <c r="U501" i="7"/>
  <c r="V501" i="7"/>
  <c r="W501" i="7"/>
  <c r="X501" i="7"/>
  <c r="Y501" i="7"/>
  <c r="Z501" i="7"/>
  <c r="AA501" i="7"/>
  <c r="AB501" i="7"/>
  <c r="AD501" i="7"/>
  <c r="AE501" i="7"/>
  <c r="E483" i="7"/>
  <c r="F483" i="7"/>
  <c r="G483" i="7"/>
  <c r="H483" i="7"/>
  <c r="I483" i="7"/>
  <c r="J483" i="7"/>
  <c r="K483" i="7"/>
  <c r="L483" i="7"/>
  <c r="M483" i="7"/>
  <c r="O483" i="7"/>
  <c r="P483" i="7"/>
  <c r="Q483" i="7"/>
  <c r="R483" i="7"/>
  <c r="S483" i="7"/>
  <c r="T483" i="7"/>
  <c r="U483" i="7"/>
  <c r="V483" i="7"/>
  <c r="W483" i="7"/>
  <c r="X483" i="7"/>
  <c r="Y483" i="7"/>
  <c r="Z483" i="7"/>
  <c r="AA483" i="7"/>
  <c r="AB483" i="7"/>
  <c r="AD483" i="7"/>
  <c r="AE483" i="7"/>
  <c r="E481" i="7"/>
  <c r="F481" i="7"/>
  <c r="G481" i="7"/>
  <c r="H481" i="7"/>
  <c r="I481" i="7"/>
  <c r="J481" i="7"/>
  <c r="K481" i="7"/>
  <c r="L481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D481" i="7"/>
  <c r="AE481" i="7"/>
  <c r="E479" i="7"/>
  <c r="F479" i="7"/>
  <c r="G479" i="7"/>
  <c r="H479" i="7"/>
  <c r="I479" i="7"/>
  <c r="J479" i="7"/>
  <c r="K479" i="7"/>
  <c r="L479" i="7"/>
  <c r="M479" i="7"/>
  <c r="N479" i="7"/>
  <c r="O479" i="7"/>
  <c r="P479" i="7"/>
  <c r="Q479" i="7"/>
  <c r="R479" i="7"/>
  <c r="S479" i="7"/>
  <c r="T479" i="7"/>
  <c r="U479" i="7"/>
  <c r="V479" i="7"/>
  <c r="W479" i="7"/>
  <c r="X479" i="7"/>
  <c r="Y479" i="7"/>
  <c r="Z479" i="7"/>
  <c r="AA479" i="7"/>
  <c r="AB479" i="7"/>
  <c r="AE479" i="7"/>
  <c r="E477" i="7"/>
  <c r="F477" i="7"/>
  <c r="G477" i="7"/>
  <c r="H477" i="7"/>
  <c r="I477" i="7"/>
  <c r="J477" i="7"/>
  <c r="K477" i="7"/>
  <c r="L477" i="7"/>
  <c r="M477" i="7"/>
  <c r="O477" i="7"/>
  <c r="P477" i="7"/>
  <c r="Q477" i="7"/>
  <c r="R477" i="7"/>
  <c r="S477" i="7"/>
  <c r="T477" i="7"/>
  <c r="U477" i="7"/>
  <c r="V477" i="7"/>
  <c r="W477" i="7"/>
  <c r="X477" i="7"/>
  <c r="Y477" i="7"/>
  <c r="Z477" i="7"/>
  <c r="AA477" i="7"/>
  <c r="AB477" i="7"/>
  <c r="AD477" i="7"/>
  <c r="AE477" i="7"/>
  <c r="E475" i="7"/>
  <c r="F475" i="7"/>
  <c r="G475" i="7"/>
  <c r="H475" i="7"/>
  <c r="I475" i="7"/>
  <c r="J475" i="7"/>
  <c r="K475" i="7"/>
  <c r="L475" i="7"/>
  <c r="M475" i="7"/>
  <c r="N475" i="7"/>
  <c r="O475" i="7"/>
  <c r="P475" i="7"/>
  <c r="Q475" i="7"/>
  <c r="R475" i="7"/>
  <c r="S475" i="7"/>
  <c r="T475" i="7"/>
  <c r="U475" i="7"/>
  <c r="V475" i="7"/>
  <c r="W475" i="7"/>
  <c r="X475" i="7"/>
  <c r="Y475" i="7"/>
  <c r="Z475" i="7"/>
  <c r="AA475" i="7"/>
  <c r="AB475" i="7"/>
  <c r="AD475" i="7"/>
  <c r="AE475" i="7"/>
  <c r="E473" i="7"/>
  <c r="F473" i="7"/>
  <c r="G473" i="7"/>
  <c r="H473" i="7"/>
  <c r="I473" i="7"/>
  <c r="J473" i="7"/>
  <c r="K473" i="7"/>
  <c r="L473" i="7"/>
  <c r="M473" i="7"/>
  <c r="N473" i="7"/>
  <c r="O473" i="7"/>
  <c r="P473" i="7"/>
  <c r="Q473" i="7"/>
  <c r="R473" i="7"/>
  <c r="S473" i="7"/>
  <c r="T473" i="7"/>
  <c r="U473" i="7"/>
  <c r="V473" i="7"/>
  <c r="W473" i="7"/>
  <c r="X473" i="7"/>
  <c r="Y473" i="7"/>
  <c r="Z473" i="7"/>
  <c r="AA473" i="7"/>
  <c r="AB473" i="7"/>
  <c r="AD473" i="7"/>
  <c r="AE473" i="7"/>
  <c r="E469" i="7"/>
  <c r="F469" i="7"/>
  <c r="G469" i="7"/>
  <c r="H469" i="7"/>
  <c r="I469" i="7"/>
  <c r="J469" i="7"/>
  <c r="K469" i="7"/>
  <c r="L469" i="7"/>
  <c r="M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D469" i="7"/>
  <c r="AE469" i="7"/>
  <c r="E459" i="7"/>
  <c r="F459" i="7"/>
  <c r="G459" i="7"/>
  <c r="H459" i="7"/>
  <c r="I459" i="7"/>
  <c r="J459" i="7"/>
  <c r="K459" i="7"/>
  <c r="L459" i="7"/>
  <c r="M459" i="7"/>
  <c r="O459" i="7"/>
  <c r="P459" i="7"/>
  <c r="Q459" i="7"/>
  <c r="R459" i="7"/>
  <c r="S459" i="7"/>
  <c r="T459" i="7"/>
  <c r="U459" i="7"/>
  <c r="V459" i="7"/>
  <c r="W459" i="7"/>
  <c r="X459" i="7"/>
  <c r="Y459" i="7"/>
  <c r="Z459" i="7"/>
  <c r="AA459" i="7"/>
  <c r="AB459" i="7"/>
  <c r="AD459" i="7"/>
  <c r="AE459" i="7"/>
  <c r="E450" i="7"/>
  <c r="F450" i="7"/>
  <c r="G450" i="7"/>
  <c r="H450" i="7"/>
  <c r="I450" i="7"/>
  <c r="J450" i="7"/>
  <c r="K450" i="7"/>
  <c r="L450" i="7"/>
  <c r="M450" i="7"/>
  <c r="O450" i="7"/>
  <c r="P450" i="7"/>
  <c r="Q450" i="7"/>
  <c r="R450" i="7"/>
  <c r="S450" i="7"/>
  <c r="T450" i="7"/>
  <c r="U450" i="7"/>
  <c r="V450" i="7"/>
  <c r="W450" i="7"/>
  <c r="X450" i="7"/>
  <c r="Y450" i="7"/>
  <c r="Z450" i="7"/>
  <c r="AA450" i="7"/>
  <c r="AB450" i="7"/>
  <c r="AD450" i="7"/>
  <c r="AE450" i="7"/>
  <c r="E427" i="7"/>
  <c r="F427" i="7"/>
  <c r="G427" i="7"/>
  <c r="H427" i="7"/>
  <c r="I427" i="7"/>
  <c r="J427" i="7"/>
  <c r="K427" i="7"/>
  <c r="L427" i="7"/>
  <c r="M427" i="7"/>
  <c r="N427" i="7"/>
  <c r="O427" i="7"/>
  <c r="P427" i="7"/>
  <c r="Q427" i="7"/>
  <c r="R427" i="7"/>
  <c r="S427" i="7"/>
  <c r="T427" i="7"/>
  <c r="U427" i="7"/>
  <c r="V427" i="7"/>
  <c r="W427" i="7"/>
  <c r="X427" i="7"/>
  <c r="Y427" i="7"/>
  <c r="Z427" i="7"/>
  <c r="AA427" i="7"/>
  <c r="AB427" i="7"/>
  <c r="AD427" i="7"/>
  <c r="AE427" i="7"/>
  <c r="E425" i="7"/>
  <c r="F425" i="7"/>
  <c r="G425" i="7"/>
  <c r="H425" i="7"/>
  <c r="I425" i="7"/>
  <c r="J425" i="7"/>
  <c r="K425" i="7"/>
  <c r="L425" i="7"/>
  <c r="M425" i="7"/>
  <c r="N425" i="7"/>
  <c r="O425" i="7"/>
  <c r="P425" i="7"/>
  <c r="Q425" i="7"/>
  <c r="R425" i="7"/>
  <c r="S425" i="7"/>
  <c r="T425" i="7"/>
  <c r="U425" i="7"/>
  <c r="V425" i="7"/>
  <c r="W425" i="7"/>
  <c r="X425" i="7"/>
  <c r="Y425" i="7"/>
  <c r="Z425" i="7"/>
  <c r="AA425" i="7"/>
  <c r="AB425" i="7"/>
  <c r="AE425" i="7"/>
  <c r="E418" i="7"/>
  <c r="F418" i="7"/>
  <c r="G418" i="7"/>
  <c r="H418" i="7"/>
  <c r="I418" i="7"/>
  <c r="J418" i="7"/>
  <c r="K418" i="7"/>
  <c r="L418" i="7"/>
  <c r="M418" i="7"/>
  <c r="O418" i="7"/>
  <c r="P418" i="7"/>
  <c r="Q418" i="7"/>
  <c r="R418" i="7"/>
  <c r="S418" i="7"/>
  <c r="T418" i="7"/>
  <c r="U418" i="7"/>
  <c r="V418" i="7"/>
  <c r="W418" i="7"/>
  <c r="X418" i="7"/>
  <c r="Y418" i="7"/>
  <c r="Z418" i="7"/>
  <c r="AA418" i="7"/>
  <c r="AB418" i="7"/>
  <c r="AD418" i="7"/>
  <c r="AE418" i="7"/>
  <c r="E416" i="7"/>
  <c r="F416" i="7"/>
  <c r="G416" i="7"/>
  <c r="H416" i="7"/>
  <c r="I416" i="7"/>
  <c r="J416" i="7"/>
  <c r="K416" i="7"/>
  <c r="L416" i="7"/>
  <c r="M416" i="7"/>
  <c r="N416" i="7"/>
  <c r="O416" i="7"/>
  <c r="P416" i="7"/>
  <c r="Q416" i="7"/>
  <c r="R416" i="7"/>
  <c r="S416" i="7"/>
  <c r="T416" i="7"/>
  <c r="U416" i="7"/>
  <c r="V416" i="7"/>
  <c r="W416" i="7"/>
  <c r="X416" i="7"/>
  <c r="Y416" i="7"/>
  <c r="Z416" i="7"/>
  <c r="AA416" i="7"/>
  <c r="AB416" i="7"/>
  <c r="AD416" i="7"/>
  <c r="AE416" i="7"/>
  <c r="E409" i="7"/>
  <c r="F409" i="7"/>
  <c r="G409" i="7"/>
  <c r="H409" i="7"/>
  <c r="I409" i="7"/>
  <c r="J409" i="7"/>
  <c r="K409" i="7"/>
  <c r="L409" i="7"/>
  <c r="M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D409" i="7"/>
  <c r="AE409" i="7"/>
  <c r="E406" i="7"/>
  <c r="F406" i="7"/>
  <c r="G406" i="7"/>
  <c r="H406" i="7"/>
  <c r="I406" i="7"/>
  <c r="J406" i="7"/>
  <c r="K406" i="7"/>
  <c r="L406" i="7"/>
  <c r="M406" i="7"/>
  <c r="N406" i="7"/>
  <c r="O406" i="7"/>
  <c r="P406" i="7"/>
  <c r="Q406" i="7"/>
  <c r="R406" i="7"/>
  <c r="S406" i="7"/>
  <c r="T406" i="7"/>
  <c r="U406" i="7"/>
  <c r="V406" i="7"/>
  <c r="W406" i="7"/>
  <c r="X406" i="7"/>
  <c r="Y406" i="7"/>
  <c r="Z406" i="7"/>
  <c r="AA406" i="7"/>
  <c r="AB406" i="7"/>
  <c r="AD406" i="7"/>
  <c r="AE406" i="7"/>
  <c r="E399" i="7"/>
  <c r="F399" i="7"/>
  <c r="G399" i="7"/>
  <c r="H399" i="7"/>
  <c r="I399" i="7"/>
  <c r="J399" i="7"/>
  <c r="K399" i="7"/>
  <c r="L399" i="7"/>
  <c r="M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D399" i="7"/>
  <c r="AE399" i="7"/>
  <c r="E397" i="7"/>
  <c r="F397" i="7"/>
  <c r="G397" i="7"/>
  <c r="H397" i="7"/>
  <c r="I397" i="7"/>
  <c r="J397" i="7"/>
  <c r="K397" i="7"/>
  <c r="L397" i="7"/>
  <c r="M397" i="7"/>
  <c r="N397" i="7"/>
  <c r="O397" i="7"/>
  <c r="P397" i="7"/>
  <c r="Q397" i="7"/>
  <c r="R397" i="7"/>
  <c r="S397" i="7"/>
  <c r="T397" i="7"/>
  <c r="U397" i="7"/>
  <c r="V397" i="7"/>
  <c r="W397" i="7"/>
  <c r="X397" i="7"/>
  <c r="Y397" i="7"/>
  <c r="Z397" i="7"/>
  <c r="AA397" i="7"/>
  <c r="AB397" i="7"/>
  <c r="AD397" i="7"/>
  <c r="AE397" i="7"/>
  <c r="E394" i="7"/>
  <c r="F394" i="7"/>
  <c r="G394" i="7"/>
  <c r="H394" i="7"/>
  <c r="I394" i="7"/>
  <c r="J394" i="7"/>
  <c r="K394" i="7"/>
  <c r="L394" i="7"/>
  <c r="M394" i="7"/>
  <c r="N394" i="7"/>
  <c r="O394" i="7"/>
  <c r="P394" i="7"/>
  <c r="Q394" i="7"/>
  <c r="R394" i="7"/>
  <c r="S394" i="7"/>
  <c r="T394" i="7"/>
  <c r="U394" i="7"/>
  <c r="V394" i="7"/>
  <c r="W394" i="7"/>
  <c r="X394" i="7"/>
  <c r="Y394" i="7"/>
  <c r="Z394" i="7"/>
  <c r="AA394" i="7"/>
  <c r="AB394" i="7"/>
  <c r="AD394" i="7"/>
  <c r="AE394" i="7"/>
  <c r="E376" i="7"/>
  <c r="F376" i="7"/>
  <c r="G376" i="7"/>
  <c r="H376" i="7"/>
  <c r="I376" i="7"/>
  <c r="J376" i="7"/>
  <c r="K376" i="7"/>
  <c r="L376" i="7"/>
  <c r="M376" i="7"/>
  <c r="N376" i="7"/>
  <c r="O376" i="7"/>
  <c r="P376" i="7"/>
  <c r="Q376" i="7"/>
  <c r="R376" i="7"/>
  <c r="S376" i="7"/>
  <c r="T376" i="7"/>
  <c r="U376" i="7"/>
  <c r="V376" i="7"/>
  <c r="W376" i="7"/>
  <c r="X376" i="7"/>
  <c r="Y376" i="7"/>
  <c r="Z376" i="7"/>
  <c r="AA376" i="7"/>
  <c r="AB376" i="7"/>
  <c r="AD376" i="7"/>
  <c r="AE376" i="7"/>
  <c r="E365" i="7"/>
  <c r="F365" i="7"/>
  <c r="G365" i="7"/>
  <c r="H365" i="7"/>
  <c r="I365" i="7"/>
  <c r="J365" i="7"/>
  <c r="K365" i="7"/>
  <c r="L365" i="7"/>
  <c r="M365" i="7"/>
  <c r="O365" i="7"/>
  <c r="P365" i="7"/>
  <c r="Q365" i="7"/>
  <c r="R365" i="7"/>
  <c r="S365" i="7"/>
  <c r="T365" i="7"/>
  <c r="U365" i="7"/>
  <c r="V365" i="7"/>
  <c r="W365" i="7"/>
  <c r="X365" i="7"/>
  <c r="Y365" i="7"/>
  <c r="Z365" i="7"/>
  <c r="AA365" i="7"/>
  <c r="AB365" i="7"/>
  <c r="AD365" i="7"/>
  <c r="AE365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Q361" i="7"/>
  <c r="R361" i="7"/>
  <c r="S361" i="7"/>
  <c r="T361" i="7"/>
  <c r="U361" i="7"/>
  <c r="V361" i="7"/>
  <c r="W361" i="7"/>
  <c r="X361" i="7"/>
  <c r="Y361" i="7"/>
  <c r="Z361" i="7"/>
  <c r="AA361" i="7"/>
  <c r="AB361" i="7"/>
  <c r="AD361" i="7"/>
  <c r="AE361" i="7"/>
  <c r="E316" i="7"/>
  <c r="F316" i="7"/>
  <c r="G316" i="7"/>
  <c r="H316" i="7"/>
  <c r="I316" i="7"/>
  <c r="J316" i="7"/>
  <c r="K316" i="7"/>
  <c r="L316" i="7"/>
  <c r="M316" i="7"/>
  <c r="O316" i="7"/>
  <c r="P316" i="7"/>
  <c r="Q316" i="7"/>
  <c r="R316" i="7"/>
  <c r="S316" i="7"/>
  <c r="T316" i="7"/>
  <c r="U316" i="7"/>
  <c r="V316" i="7"/>
  <c r="W316" i="7"/>
  <c r="X316" i="7"/>
  <c r="Y316" i="7"/>
  <c r="Z316" i="7"/>
  <c r="AA316" i="7"/>
  <c r="AB316" i="7"/>
  <c r="AD316" i="7"/>
  <c r="AE316" i="7"/>
  <c r="E310" i="7"/>
  <c r="F310" i="7"/>
  <c r="G310" i="7"/>
  <c r="H310" i="7"/>
  <c r="I310" i="7"/>
  <c r="J310" i="7"/>
  <c r="K310" i="7"/>
  <c r="L310" i="7"/>
  <c r="M310" i="7"/>
  <c r="O310" i="7"/>
  <c r="P310" i="7"/>
  <c r="Q310" i="7"/>
  <c r="R310" i="7"/>
  <c r="S310" i="7"/>
  <c r="T310" i="7"/>
  <c r="U310" i="7"/>
  <c r="V310" i="7"/>
  <c r="W310" i="7"/>
  <c r="X310" i="7"/>
  <c r="Y310" i="7"/>
  <c r="Z310" i="7"/>
  <c r="AA310" i="7"/>
  <c r="AB310" i="7"/>
  <c r="AD310" i="7"/>
  <c r="AE310" i="7"/>
  <c r="E304" i="7"/>
  <c r="F304" i="7"/>
  <c r="G304" i="7"/>
  <c r="H304" i="7"/>
  <c r="I304" i="7"/>
  <c r="J304" i="7"/>
  <c r="K304" i="7"/>
  <c r="L304" i="7"/>
  <c r="M304" i="7"/>
  <c r="N304" i="7"/>
  <c r="O304" i="7"/>
  <c r="P304" i="7"/>
  <c r="Q304" i="7"/>
  <c r="R304" i="7"/>
  <c r="S304" i="7"/>
  <c r="T304" i="7"/>
  <c r="U304" i="7"/>
  <c r="V304" i="7"/>
  <c r="W304" i="7"/>
  <c r="X304" i="7"/>
  <c r="Y304" i="7"/>
  <c r="Z304" i="7"/>
  <c r="AA304" i="7"/>
  <c r="AB304" i="7"/>
  <c r="AD304" i="7"/>
  <c r="AE304" i="7"/>
  <c r="E301" i="7"/>
  <c r="F301" i="7"/>
  <c r="G301" i="7"/>
  <c r="H301" i="7"/>
  <c r="I301" i="7"/>
  <c r="J301" i="7"/>
  <c r="K301" i="7"/>
  <c r="L301" i="7"/>
  <c r="M301" i="7"/>
  <c r="O301" i="7"/>
  <c r="P301" i="7"/>
  <c r="Q301" i="7"/>
  <c r="R301" i="7"/>
  <c r="S301" i="7"/>
  <c r="T301" i="7"/>
  <c r="U301" i="7"/>
  <c r="V301" i="7"/>
  <c r="W301" i="7"/>
  <c r="X301" i="7"/>
  <c r="Y301" i="7"/>
  <c r="Z301" i="7"/>
  <c r="AA301" i="7"/>
  <c r="AB301" i="7"/>
  <c r="AD301" i="7"/>
  <c r="AE301" i="7"/>
  <c r="E299" i="7"/>
  <c r="F299" i="7"/>
  <c r="G299" i="7"/>
  <c r="H299" i="7"/>
  <c r="I299" i="7"/>
  <c r="J299" i="7"/>
  <c r="K299" i="7"/>
  <c r="L299" i="7"/>
  <c r="M299" i="7"/>
  <c r="N299" i="7"/>
  <c r="O299" i="7"/>
  <c r="P299" i="7"/>
  <c r="Q299" i="7"/>
  <c r="R299" i="7"/>
  <c r="S299" i="7"/>
  <c r="T299" i="7"/>
  <c r="U299" i="7"/>
  <c r="W299" i="7"/>
  <c r="X299" i="7"/>
  <c r="Y299" i="7"/>
  <c r="Z299" i="7"/>
  <c r="AA299" i="7"/>
  <c r="AB299" i="7"/>
  <c r="AD299" i="7"/>
  <c r="AE299" i="7"/>
  <c r="E294" i="7"/>
  <c r="F294" i="7"/>
  <c r="H294" i="7"/>
  <c r="I294" i="7"/>
  <c r="J294" i="7"/>
  <c r="K294" i="7"/>
  <c r="L294" i="7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D294" i="7"/>
  <c r="AE294" i="7"/>
  <c r="S764" i="3"/>
  <c r="S763" i="3"/>
  <c r="S762" i="3"/>
  <c r="S761" i="3"/>
  <c r="S760" i="3"/>
  <c r="S759" i="3"/>
  <c r="S758" i="3"/>
  <c r="S757" i="3"/>
  <c r="S756" i="3"/>
  <c r="S755" i="3"/>
  <c r="S675" i="3"/>
  <c r="S676" i="3"/>
  <c r="S677" i="3"/>
  <c r="S678" i="3"/>
  <c r="S679" i="3"/>
  <c r="AC610" i="7"/>
  <c r="AC604" i="7"/>
  <c r="D770" i="7"/>
  <c r="D769" i="7"/>
  <c r="D768" i="7"/>
  <c r="D767" i="7"/>
  <c r="D766" i="7"/>
  <c r="D765" i="7"/>
  <c r="D764" i="7"/>
  <c r="D763" i="7"/>
  <c r="D762" i="7"/>
  <c r="D761" i="7"/>
  <c r="AC750" i="7"/>
  <c r="D750" i="7" s="1"/>
  <c r="AC749" i="7"/>
  <c r="D749" i="7" s="1"/>
  <c r="AC748" i="7"/>
  <c r="D748" i="7" s="1"/>
  <c r="AC747" i="7"/>
  <c r="D747" i="7" s="1"/>
  <c r="AC746" i="7"/>
  <c r="D746" i="7" s="1"/>
  <c r="AC745" i="7"/>
  <c r="D745" i="7" s="1"/>
  <c r="AC744" i="7"/>
  <c r="D744" i="7" s="1"/>
  <c r="AC743" i="7"/>
  <c r="D743" i="7" s="1"/>
  <c r="AC742" i="7"/>
  <c r="D742" i="7" s="1"/>
  <c r="AC741" i="7"/>
  <c r="D741" i="7" s="1"/>
  <c r="AC740" i="7"/>
  <c r="D740" i="7" s="1"/>
  <c r="AC739" i="7"/>
  <c r="D739" i="7" s="1"/>
  <c r="AC738" i="7"/>
  <c r="D738" i="7" s="1"/>
  <c r="AC737" i="7"/>
  <c r="D737" i="7" s="1"/>
  <c r="AC736" i="7"/>
  <c r="D736" i="7" s="1"/>
  <c r="AC735" i="7"/>
  <c r="D735" i="7" s="1"/>
  <c r="AC734" i="7"/>
  <c r="D734" i="7" s="1"/>
  <c r="AC733" i="7"/>
  <c r="D733" i="7" s="1"/>
  <c r="AC732" i="7"/>
  <c r="D732" i="7" s="1"/>
  <c r="AC731" i="7"/>
  <c r="D731" i="7" s="1"/>
  <c r="AC730" i="7"/>
  <c r="D730" i="7" s="1"/>
  <c r="AC729" i="7"/>
  <c r="D729" i="7" s="1"/>
  <c r="AC728" i="7"/>
  <c r="D728" i="7" s="1"/>
  <c r="AC727" i="7"/>
  <c r="D727" i="7" s="1"/>
  <c r="AC726" i="7"/>
  <c r="D726" i="7" s="1"/>
  <c r="AC725" i="7"/>
  <c r="D725" i="7" s="1"/>
  <c r="AC724" i="7"/>
  <c r="D724" i="7" s="1"/>
  <c r="AC977" i="7"/>
  <c r="D977" i="7" s="1"/>
  <c r="AC670" i="7"/>
  <c r="D670" i="7" s="1"/>
  <c r="AC650" i="7"/>
  <c r="D650" i="7" s="1"/>
  <c r="D621" i="7"/>
  <c r="D620" i="7"/>
  <c r="D618" i="7"/>
  <c r="D617" i="7"/>
  <c r="D619" i="7"/>
  <c r="D575" i="7"/>
  <c r="AC679" i="7"/>
  <c r="D679" i="7" s="1"/>
  <c r="AC678" i="7"/>
  <c r="D678" i="7" s="1"/>
  <c r="AC677" i="7"/>
  <c r="D677" i="7" s="1"/>
  <c r="AC676" i="7"/>
  <c r="D676" i="7" s="1"/>
  <c r="AC675" i="7"/>
  <c r="D675" i="7" s="1"/>
  <c r="AC674" i="7"/>
  <c r="D674" i="7" s="1"/>
  <c r="AC673" i="7"/>
  <c r="D673" i="7" s="1"/>
  <c r="AC672" i="7"/>
  <c r="D672" i="7" s="1"/>
  <c r="AC671" i="7"/>
  <c r="D671" i="7" s="1"/>
  <c r="AC669" i="7"/>
  <c r="D669" i="7" s="1"/>
  <c r="AC668" i="7"/>
  <c r="D668" i="7" s="1"/>
  <c r="AC667" i="7"/>
  <c r="D667" i="7" s="1"/>
  <c r="AC666" i="7"/>
  <c r="D666" i="7" s="1"/>
  <c r="AC665" i="7"/>
  <c r="D665" i="7" s="1"/>
  <c r="AC664" i="7"/>
  <c r="D664" i="7" s="1"/>
  <c r="AC663" i="7"/>
  <c r="D663" i="7" s="1"/>
  <c r="AC662" i="7"/>
  <c r="D662" i="7" s="1"/>
  <c r="AC661" i="7"/>
  <c r="D661" i="7" s="1"/>
  <c r="AC660" i="7"/>
  <c r="D660" i="7" s="1"/>
  <c r="AC659" i="7"/>
  <c r="D659" i="7" s="1"/>
  <c r="AC658" i="7"/>
  <c r="D658" i="7" s="1"/>
  <c r="AC657" i="7"/>
  <c r="D657" i="7" s="1"/>
  <c r="AC656" i="7"/>
  <c r="D656" i="7" s="1"/>
  <c r="AC655" i="7"/>
  <c r="D655" i="7" s="1"/>
  <c r="AC654" i="7"/>
  <c r="D654" i="7" s="1"/>
  <c r="AC653" i="7"/>
  <c r="D653" i="7" s="1"/>
  <c r="AC652" i="7"/>
  <c r="D652" i="7" s="1"/>
  <c r="AC651" i="7"/>
  <c r="D651" i="7" s="1"/>
  <c r="AC649" i="7"/>
  <c r="D649" i="7" s="1"/>
  <c r="AC648" i="7"/>
  <c r="D648" i="7" s="1"/>
  <c r="AC647" i="7"/>
  <c r="D647" i="7" s="1"/>
  <c r="AC646" i="7"/>
  <c r="D646" i="7" s="1"/>
  <c r="AC645" i="7"/>
  <c r="D645" i="7" s="1"/>
  <c r="AC644" i="7"/>
  <c r="D644" i="7" s="1"/>
  <c r="AC643" i="7"/>
  <c r="D643" i="7" s="1"/>
  <c r="AC642" i="7"/>
  <c r="D642" i="7" s="1"/>
  <c r="AC641" i="7"/>
  <c r="D641" i="7" s="1"/>
  <c r="AC640" i="7"/>
  <c r="D640" i="7" s="1"/>
  <c r="AC639" i="7"/>
  <c r="D639" i="7" s="1"/>
  <c r="AC638" i="7"/>
  <c r="D638" i="7" s="1"/>
  <c r="AC637" i="7"/>
  <c r="D637" i="7" s="1"/>
  <c r="AC636" i="7"/>
  <c r="D636" i="7" s="1"/>
  <c r="AC635" i="7"/>
  <c r="D635" i="7" s="1"/>
  <c r="AC634" i="7"/>
  <c r="D634" i="7" s="1"/>
  <c r="AC633" i="7"/>
  <c r="D633" i="7" s="1"/>
  <c r="AC632" i="7"/>
  <c r="D632" i="7" s="1"/>
  <c r="AC631" i="7"/>
  <c r="D631" i="7" s="1"/>
  <c r="AC630" i="7"/>
  <c r="D630" i="7" s="1"/>
  <c r="AC629" i="7"/>
  <c r="D629" i="7" s="1"/>
  <c r="AC628" i="7"/>
  <c r="D628" i="7" s="1"/>
  <c r="AC627" i="7"/>
  <c r="D627" i="7" s="1"/>
  <c r="AC626" i="7"/>
  <c r="D626" i="7" s="1"/>
  <c r="AC625" i="7"/>
  <c r="D625" i="7" s="1"/>
  <c r="AC624" i="7"/>
  <c r="D624" i="7" s="1"/>
  <c r="AC623" i="7"/>
  <c r="D623" i="7" s="1"/>
  <c r="AC622" i="7"/>
  <c r="D622" i="7" s="1"/>
  <c r="D82" i="7"/>
  <c r="D74" i="7"/>
  <c r="D75" i="7"/>
  <c r="D76" i="7"/>
  <c r="D77" i="7"/>
  <c r="D78" i="7"/>
  <c r="R403" i="7" l="1"/>
  <c r="R401" i="7" s="1"/>
  <c r="N402" i="7"/>
  <c r="N401" i="7" s="1"/>
  <c r="R516" i="7" l="1"/>
  <c r="R514" i="7" s="1"/>
  <c r="Q1191" i="3" l="1"/>
  <c r="R1191" i="3"/>
  <c r="Q1187" i="3"/>
  <c r="R1187" i="3"/>
  <c r="Q1185" i="3"/>
  <c r="R1185" i="3"/>
  <c r="Q1183" i="3"/>
  <c r="R1183" i="3"/>
  <c r="Q1181" i="3"/>
  <c r="R1181" i="3"/>
  <c r="Q1177" i="3"/>
  <c r="R1177" i="3"/>
  <c r="Q1174" i="3"/>
  <c r="R1174" i="3"/>
  <c r="Q1172" i="3"/>
  <c r="R1172" i="3"/>
  <c r="Q1170" i="3"/>
  <c r="R1170" i="3"/>
  <c r="Q1167" i="3"/>
  <c r="R1167" i="3"/>
  <c r="Q1162" i="3"/>
  <c r="R1162" i="3"/>
  <c r="Q1146" i="3"/>
  <c r="R1146" i="3"/>
  <c r="Q1148" i="3"/>
  <c r="R1148" i="3"/>
  <c r="Q1150" i="3"/>
  <c r="R1150" i="3"/>
  <c r="Q1152" i="3"/>
  <c r="R1152" i="3"/>
  <c r="Q1155" i="3"/>
  <c r="R1155" i="3"/>
  <c r="Q1158" i="3"/>
  <c r="R1158" i="3"/>
  <c r="Q1142" i="3"/>
  <c r="R1142" i="3"/>
  <c r="Q1140" i="3"/>
  <c r="R1140" i="3"/>
  <c r="Q1138" i="3"/>
  <c r="R1138" i="3"/>
  <c r="Q1136" i="3"/>
  <c r="R1136" i="3"/>
  <c r="Q1132" i="3"/>
  <c r="R1132" i="3"/>
  <c r="Q1130" i="3"/>
  <c r="R1130" i="3"/>
  <c r="Q1128" i="3"/>
  <c r="R1128" i="3"/>
  <c r="Q1126" i="3"/>
  <c r="R1126" i="3"/>
  <c r="Q1124" i="3"/>
  <c r="R1124" i="3"/>
  <c r="Q1120" i="3"/>
  <c r="R1120" i="3"/>
  <c r="Q1122" i="3"/>
  <c r="R1122" i="3"/>
  <c r="Q1116" i="3"/>
  <c r="R1116" i="3"/>
  <c r="Q1114" i="3"/>
  <c r="R1114" i="3"/>
  <c r="Q1111" i="3"/>
  <c r="R1111" i="3"/>
  <c r="Q1107" i="3"/>
  <c r="R1107" i="3"/>
  <c r="Q1104" i="3"/>
  <c r="R1104" i="3"/>
  <c r="Q1095" i="3"/>
  <c r="R1095" i="3"/>
  <c r="Q1093" i="3"/>
  <c r="R1093" i="3"/>
  <c r="Q1091" i="3"/>
  <c r="R1091" i="3"/>
  <c r="Q1088" i="3"/>
  <c r="R1088" i="3"/>
  <c r="Q1086" i="3"/>
  <c r="R1086" i="3"/>
  <c r="Q1084" i="3"/>
  <c r="R1084" i="3"/>
  <c r="Q1082" i="3"/>
  <c r="R1082" i="3"/>
  <c r="Q1080" i="3"/>
  <c r="R1080" i="3"/>
  <c r="Q1077" i="3"/>
  <c r="R1077" i="3"/>
  <c r="Q1069" i="3"/>
  <c r="R1069" i="3"/>
  <c r="Q1065" i="3"/>
  <c r="R1065" i="3"/>
  <c r="Q1062" i="3"/>
  <c r="R1062" i="3"/>
  <c r="Q1060" i="3"/>
  <c r="R1060" i="3"/>
  <c r="Q1058" i="3"/>
  <c r="R1058" i="3"/>
  <c r="Q1052" i="3"/>
  <c r="R1052" i="3"/>
  <c r="Q1048" i="3"/>
  <c r="R1048" i="3"/>
  <c r="Q1039" i="3"/>
  <c r="R1039" i="3"/>
  <c r="Q1036" i="3"/>
  <c r="R1036" i="3"/>
  <c r="Q996" i="3"/>
  <c r="R996" i="3"/>
  <c r="Q902" i="3"/>
  <c r="R902" i="3"/>
  <c r="Q904" i="3"/>
  <c r="R904" i="3"/>
  <c r="Q906" i="3"/>
  <c r="R906" i="3"/>
  <c r="Q908" i="3"/>
  <c r="R908" i="3"/>
  <c r="Q912" i="3"/>
  <c r="R912" i="3"/>
  <c r="Q914" i="3"/>
  <c r="R914" i="3"/>
  <c r="Q917" i="3"/>
  <c r="R917" i="3"/>
  <c r="Q919" i="3"/>
  <c r="R919" i="3"/>
  <c r="Q899" i="3"/>
  <c r="R899" i="3"/>
  <c r="Q895" i="3"/>
  <c r="R895" i="3"/>
  <c r="Q891" i="3"/>
  <c r="R891" i="3"/>
  <c r="Q889" i="3"/>
  <c r="R889" i="3"/>
  <c r="Q887" i="3"/>
  <c r="R887" i="3"/>
  <c r="Q885" i="3"/>
  <c r="R885" i="3"/>
  <c r="Q882" i="3"/>
  <c r="R882" i="3"/>
  <c r="Q876" i="3"/>
  <c r="R876" i="3"/>
  <c r="Q874" i="3"/>
  <c r="R874" i="3"/>
  <c r="Q872" i="3"/>
  <c r="R872" i="3"/>
  <c r="Q866" i="3"/>
  <c r="R866" i="3"/>
  <c r="Q864" i="3"/>
  <c r="R864" i="3"/>
  <c r="Q862" i="3"/>
  <c r="R862" i="3"/>
  <c r="Q860" i="3"/>
  <c r="R860" i="3"/>
  <c r="Q858" i="3"/>
  <c r="R858" i="3"/>
  <c r="Q837" i="3"/>
  <c r="R837" i="3"/>
  <c r="Q839" i="3"/>
  <c r="R839" i="3"/>
  <c r="Q842" i="3"/>
  <c r="R842" i="3"/>
  <c r="Q844" i="3"/>
  <c r="R844" i="3"/>
  <c r="Q846" i="3"/>
  <c r="R846" i="3"/>
  <c r="Q851" i="3"/>
  <c r="R851" i="3"/>
  <c r="Q854" i="3"/>
  <c r="R854" i="3"/>
  <c r="Q856" i="3"/>
  <c r="R856" i="3"/>
  <c r="Q828" i="3"/>
  <c r="R828" i="3"/>
  <c r="Q826" i="3"/>
  <c r="R826" i="3"/>
  <c r="Q824" i="3"/>
  <c r="R824" i="3"/>
  <c r="Q822" i="3"/>
  <c r="R822" i="3"/>
  <c r="Q820" i="3"/>
  <c r="R820" i="3"/>
  <c r="Q818" i="3"/>
  <c r="R818" i="3"/>
  <c r="Q816" i="3"/>
  <c r="R816" i="3"/>
  <c r="Q814" i="3"/>
  <c r="R814" i="3"/>
  <c r="Q811" i="3"/>
  <c r="R811" i="3"/>
  <c r="Q804" i="3"/>
  <c r="R804" i="3"/>
  <c r="Q800" i="3"/>
  <c r="R800" i="3"/>
  <c r="Q797" i="3"/>
  <c r="R797" i="3"/>
  <c r="Q795" i="3"/>
  <c r="R795" i="3"/>
  <c r="Q787" i="3"/>
  <c r="R787" i="3"/>
  <c r="Q784" i="3"/>
  <c r="R784" i="3"/>
  <c r="Q766" i="3"/>
  <c r="R766" i="3"/>
  <c r="Q553" i="3"/>
  <c r="R553" i="3"/>
  <c r="Q557" i="3"/>
  <c r="R557" i="3"/>
  <c r="Q547" i="3"/>
  <c r="R547" i="3"/>
  <c r="Q536" i="3"/>
  <c r="R536" i="3"/>
  <c r="Q531" i="3"/>
  <c r="R531" i="3"/>
  <c r="Q524" i="3"/>
  <c r="R524" i="3"/>
  <c r="Q514" i="3"/>
  <c r="R514" i="3"/>
  <c r="Q516" i="3"/>
  <c r="R516" i="3"/>
  <c r="Q518" i="3"/>
  <c r="R518" i="3"/>
  <c r="Q520" i="3"/>
  <c r="R520" i="3"/>
  <c r="Q522" i="3"/>
  <c r="R522" i="3"/>
  <c r="Q508" i="3"/>
  <c r="R508" i="3"/>
  <c r="Q506" i="3"/>
  <c r="R506" i="3"/>
  <c r="Q495" i="3"/>
  <c r="R495" i="3"/>
  <c r="Q477" i="3"/>
  <c r="R477" i="3"/>
  <c r="Q475" i="3"/>
  <c r="R475" i="3"/>
  <c r="Q473" i="3"/>
  <c r="R473" i="3"/>
  <c r="Q471" i="3"/>
  <c r="R471" i="3"/>
  <c r="Q469" i="3"/>
  <c r="R469" i="3"/>
  <c r="Q467" i="3"/>
  <c r="R467" i="3"/>
  <c r="Q463" i="3"/>
  <c r="R463" i="3"/>
  <c r="Q453" i="3"/>
  <c r="R453" i="3"/>
  <c r="Q444" i="3"/>
  <c r="R444" i="3"/>
  <c r="Q429" i="3"/>
  <c r="R429" i="3"/>
  <c r="Q421" i="3"/>
  <c r="R421" i="3"/>
  <c r="Q419" i="3"/>
  <c r="R419" i="3"/>
  <c r="Q412" i="3"/>
  <c r="R412" i="3"/>
  <c r="Q410" i="3"/>
  <c r="R410" i="3"/>
  <c r="Q403" i="3"/>
  <c r="R403" i="3"/>
  <c r="Q400" i="3"/>
  <c r="R400" i="3"/>
  <c r="Q393" i="3"/>
  <c r="R393" i="3"/>
  <c r="Q391" i="3"/>
  <c r="R391" i="3"/>
  <c r="Q388" i="3"/>
  <c r="R388" i="3"/>
  <c r="Q370" i="3"/>
  <c r="R370" i="3"/>
  <c r="Q359" i="3"/>
  <c r="R359" i="3"/>
  <c r="Q355" i="3"/>
  <c r="R355" i="3"/>
  <c r="Q310" i="3"/>
  <c r="R310" i="3"/>
  <c r="Q304" i="3"/>
  <c r="R304" i="3"/>
  <c r="Q298" i="3"/>
  <c r="R298" i="3"/>
  <c r="Q295" i="3"/>
  <c r="R295" i="3"/>
  <c r="Q293" i="3"/>
  <c r="R293" i="3"/>
  <c r="Q288" i="3"/>
  <c r="R288" i="3"/>
  <c r="Q273" i="3"/>
  <c r="R273" i="3"/>
  <c r="S1192" i="3"/>
  <c r="S1191" i="3" s="1"/>
  <c r="S1190" i="3"/>
  <c r="S1189" i="3"/>
  <c r="S1188" i="3"/>
  <c r="S1186" i="3"/>
  <c r="S1185" i="3" s="1"/>
  <c r="S1184" i="3"/>
  <c r="S1183" i="3" s="1"/>
  <c r="S1182" i="3"/>
  <c r="S1181" i="3" s="1"/>
  <c r="S1180" i="3"/>
  <c r="S1179" i="3"/>
  <c r="S1178" i="3"/>
  <c r="S1176" i="3"/>
  <c r="S1175" i="3"/>
  <c r="S1173" i="3"/>
  <c r="S1172" i="3" s="1"/>
  <c r="S1171" i="3"/>
  <c r="S1170" i="3" s="1"/>
  <c r="S1169" i="3"/>
  <c r="S1168" i="3"/>
  <c r="S1166" i="3"/>
  <c r="S1165" i="3"/>
  <c r="S1164" i="3"/>
  <c r="S1163" i="3"/>
  <c r="S1161" i="3"/>
  <c r="S1160" i="3"/>
  <c r="S1159" i="3"/>
  <c r="S1157" i="3"/>
  <c r="S1156" i="3"/>
  <c r="S1154" i="3"/>
  <c r="S1153" i="3"/>
  <c r="S1151" i="3"/>
  <c r="S1150" i="3" s="1"/>
  <c r="S1149" i="3"/>
  <c r="S1148" i="3" s="1"/>
  <c r="S1147" i="3"/>
  <c r="S1146" i="3" s="1"/>
  <c r="S1145" i="3"/>
  <c r="S1144" i="3"/>
  <c r="S1143" i="3"/>
  <c r="S1141" i="3"/>
  <c r="S1140" i="3" s="1"/>
  <c r="S1139" i="3"/>
  <c r="S1138" i="3" s="1"/>
  <c r="S1137" i="3"/>
  <c r="S1136" i="3" s="1"/>
  <c r="S1135" i="3"/>
  <c r="S1134" i="3"/>
  <c r="S1133" i="3"/>
  <c r="S1131" i="3"/>
  <c r="S1130" i="3" s="1"/>
  <c r="S1129" i="3"/>
  <c r="S1128" i="3" s="1"/>
  <c r="S1127" i="3"/>
  <c r="S1126" i="3" s="1"/>
  <c r="S1125" i="3"/>
  <c r="S1124" i="3" s="1"/>
  <c r="S1123" i="3"/>
  <c r="S1122" i="3" s="1"/>
  <c r="S1121" i="3"/>
  <c r="S1120" i="3" s="1"/>
  <c r="S1119" i="3"/>
  <c r="S1118" i="3"/>
  <c r="S1117" i="3"/>
  <c r="S1115" i="3"/>
  <c r="S1114" i="3" s="1"/>
  <c r="S1113" i="3"/>
  <c r="S1112" i="3"/>
  <c r="S1110" i="3"/>
  <c r="S1109" i="3"/>
  <c r="S1108" i="3"/>
  <c r="S1106" i="3"/>
  <c r="S1105" i="3"/>
  <c r="S1102" i="3"/>
  <c r="S1101" i="3"/>
  <c r="S387" i="3"/>
  <c r="S1100" i="3"/>
  <c r="S1099" i="3"/>
  <c r="S1098" i="3"/>
  <c r="S1096" i="3"/>
  <c r="S1095" i="3" s="1"/>
  <c r="S1094" i="3"/>
  <c r="S1093" i="3" s="1"/>
  <c r="S1092" i="3"/>
  <c r="S1091" i="3" s="1"/>
  <c r="S1090" i="3"/>
  <c r="S1089" i="3"/>
  <c r="S1087" i="3"/>
  <c r="S1086" i="3" s="1"/>
  <c r="S1085" i="3"/>
  <c r="S1084" i="3" s="1"/>
  <c r="S1083" i="3"/>
  <c r="S1082" i="3" s="1"/>
  <c r="S1081" i="3"/>
  <c r="S1080" i="3" s="1"/>
  <c r="S1079" i="3"/>
  <c r="S1078" i="3"/>
  <c r="S1076" i="3"/>
  <c r="S1075" i="3"/>
  <c r="S1074" i="3"/>
  <c r="S1073" i="3"/>
  <c r="S1072" i="3"/>
  <c r="S1071" i="3"/>
  <c r="S1070" i="3"/>
  <c r="S803" i="3"/>
  <c r="S802" i="3" s="1"/>
  <c r="S1066" i="3"/>
  <c r="S1065" i="3" s="1"/>
  <c r="S1064" i="3"/>
  <c r="S1063" i="3"/>
  <c r="S1061" i="3"/>
  <c r="S1060" i="3" s="1"/>
  <c r="S1059" i="3"/>
  <c r="S1058" i="3" s="1"/>
  <c r="S794" i="3"/>
  <c r="S1056" i="3"/>
  <c r="S1054" i="3"/>
  <c r="S1053" i="3"/>
  <c r="S1051" i="3"/>
  <c r="S1050" i="3"/>
  <c r="S1049" i="3"/>
  <c r="S1047" i="3"/>
  <c r="S1046" i="3"/>
  <c r="S1045" i="3"/>
  <c r="S1044" i="3"/>
  <c r="S1043" i="3"/>
  <c r="S1042" i="3"/>
  <c r="S1041" i="3"/>
  <c r="S1040" i="3"/>
  <c r="S1038" i="3"/>
  <c r="S1037" i="3"/>
  <c r="S1034" i="3"/>
  <c r="S1033" i="3"/>
  <c r="S1032" i="3"/>
  <c r="S1031" i="3"/>
  <c r="S1030" i="3"/>
  <c r="S1029" i="3"/>
  <c r="S1028" i="3"/>
  <c r="S1027" i="3"/>
  <c r="S1026" i="3"/>
  <c r="S1025" i="3"/>
  <c r="S1023" i="3"/>
  <c r="S1022" i="3"/>
  <c r="S1021" i="3"/>
  <c r="S1020" i="3"/>
  <c r="S1019" i="3"/>
  <c r="S1018" i="3"/>
  <c r="S1017" i="3"/>
  <c r="S1016" i="3"/>
  <c r="S1015" i="3"/>
  <c r="S1014" i="3"/>
  <c r="S1013" i="3"/>
  <c r="S1012" i="3"/>
  <c r="S1011" i="3"/>
  <c r="S1010" i="3"/>
  <c r="S1009" i="3"/>
  <c r="S1008" i="3"/>
  <c r="S1007" i="3"/>
  <c r="S1006" i="3"/>
  <c r="S1005" i="3"/>
  <c r="S1004" i="3"/>
  <c r="S1003" i="3"/>
  <c r="S1002" i="3"/>
  <c r="S1001" i="3"/>
  <c r="S1000" i="3"/>
  <c r="S999" i="3"/>
  <c r="S998" i="3"/>
  <c r="S997" i="3"/>
  <c r="S994" i="3"/>
  <c r="S993" i="3"/>
  <c r="S992" i="3"/>
  <c r="S991" i="3"/>
  <c r="S990" i="3"/>
  <c r="S989" i="3"/>
  <c r="S988" i="3"/>
  <c r="S987" i="3"/>
  <c r="S986" i="3"/>
  <c r="S985" i="3"/>
  <c r="S984" i="3"/>
  <c r="S983" i="3"/>
  <c r="S982" i="3"/>
  <c r="S923" i="3"/>
  <c r="S922" i="3" s="1"/>
  <c r="S920" i="3"/>
  <c r="S919" i="3" s="1"/>
  <c r="S918" i="3"/>
  <c r="S917" i="3" s="1"/>
  <c r="S916" i="3"/>
  <c r="S915" i="3"/>
  <c r="S913" i="3"/>
  <c r="S912" i="3" s="1"/>
  <c r="S911" i="3"/>
  <c r="S910" i="3"/>
  <c r="S909" i="3"/>
  <c r="S907" i="3"/>
  <c r="S906" i="3" s="1"/>
  <c r="S905" i="3"/>
  <c r="S904" i="3" s="1"/>
  <c r="S903" i="3"/>
  <c r="S902" i="3" s="1"/>
  <c r="S901" i="3"/>
  <c r="S900" i="3"/>
  <c r="S898" i="3"/>
  <c r="S897" i="3"/>
  <c r="S896" i="3"/>
  <c r="S894" i="3"/>
  <c r="S893" i="3" s="1"/>
  <c r="S494" i="3"/>
  <c r="S493" i="3"/>
  <c r="S892" i="3"/>
  <c r="S891" i="3" s="1"/>
  <c r="S890" i="3"/>
  <c r="S889" i="3" s="1"/>
  <c r="S888" i="3"/>
  <c r="S887" i="3" s="1"/>
  <c r="S886" i="3"/>
  <c r="S885" i="3" s="1"/>
  <c r="S884" i="3"/>
  <c r="S883" i="3"/>
  <c r="S881" i="3"/>
  <c r="S880" i="3"/>
  <c r="S879" i="3"/>
  <c r="S878" i="3"/>
  <c r="S877" i="3"/>
  <c r="S875" i="3"/>
  <c r="S874" i="3" s="1"/>
  <c r="S873" i="3"/>
  <c r="S872" i="3" s="1"/>
  <c r="S870" i="3"/>
  <c r="S869" i="3"/>
  <c r="S867" i="3"/>
  <c r="S866" i="3" s="1"/>
  <c r="S865" i="3"/>
  <c r="S864" i="3" s="1"/>
  <c r="S863" i="3"/>
  <c r="S862" i="3" s="1"/>
  <c r="S861" i="3"/>
  <c r="S860" i="3" s="1"/>
  <c r="S859" i="3"/>
  <c r="S858" i="3" s="1"/>
  <c r="S857" i="3"/>
  <c r="S856" i="3" s="1"/>
  <c r="S855" i="3"/>
  <c r="S854" i="3" s="1"/>
  <c r="S853" i="3"/>
  <c r="S852" i="3"/>
  <c r="S850" i="3"/>
  <c r="S849" i="3"/>
  <c r="S848" i="3"/>
  <c r="S847" i="3"/>
  <c r="S845" i="3"/>
  <c r="S844" i="3" s="1"/>
  <c r="S843" i="3"/>
  <c r="S842" i="3" s="1"/>
  <c r="S841" i="3"/>
  <c r="S840" i="3"/>
  <c r="S838" i="3"/>
  <c r="S837" i="3" s="1"/>
  <c r="S836" i="3"/>
  <c r="S835" i="3"/>
  <c r="S834" i="3"/>
  <c r="S833" i="3"/>
  <c r="S832" i="3"/>
  <c r="S831" i="3"/>
  <c r="S830" i="3"/>
  <c r="S829" i="3"/>
  <c r="S827" i="3"/>
  <c r="S826" i="3" s="1"/>
  <c r="S825" i="3"/>
  <c r="S824" i="3" s="1"/>
  <c r="S823" i="3"/>
  <c r="S822" i="3" s="1"/>
  <c r="S821" i="3"/>
  <c r="S820" i="3" s="1"/>
  <c r="S819" i="3"/>
  <c r="S818" i="3" s="1"/>
  <c r="S817" i="3"/>
  <c r="S816" i="3" s="1"/>
  <c r="S815" i="3"/>
  <c r="S814" i="3" s="1"/>
  <c r="S813" i="3"/>
  <c r="S812" i="3"/>
  <c r="S810" i="3"/>
  <c r="S809" i="3"/>
  <c r="S808" i="3"/>
  <c r="S807" i="3"/>
  <c r="S806" i="3"/>
  <c r="S805" i="3"/>
  <c r="S1068" i="3"/>
  <c r="S1067" i="3" s="1"/>
  <c r="S801" i="3"/>
  <c r="S800" i="3" s="1"/>
  <c r="S799" i="3"/>
  <c r="S798" i="3"/>
  <c r="S796" i="3"/>
  <c r="S793" i="3"/>
  <c r="S792" i="3" s="1"/>
  <c r="S1057" i="3"/>
  <c r="S791" i="3"/>
  <c r="S790" i="3"/>
  <c r="S789" i="3"/>
  <c r="S788" i="3"/>
  <c r="S786" i="3"/>
  <c r="S785" i="3"/>
  <c r="S782" i="3"/>
  <c r="S781" i="3"/>
  <c r="S780" i="3"/>
  <c r="S779" i="3"/>
  <c r="S778" i="3"/>
  <c r="S777" i="3"/>
  <c r="S776" i="3"/>
  <c r="S775" i="3"/>
  <c r="S774" i="3"/>
  <c r="S773" i="3"/>
  <c r="S772" i="3"/>
  <c r="S771" i="3"/>
  <c r="S769" i="3"/>
  <c r="S768" i="3"/>
  <c r="S767" i="3"/>
  <c r="S753" i="3"/>
  <c r="S752" i="3"/>
  <c r="S751" i="3"/>
  <c r="S750" i="3"/>
  <c r="S749" i="3"/>
  <c r="S748" i="3"/>
  <c r="S747" i="3"/>
  <c r="S746" i="3"/>
  <c r="S690" i="3"/>
  <c r="S689" i="3" s="1"/>
  <c r="S684" i="3"/>
  <c r="S683" i="3"/>
  <c r="S688" i="3"/>
  <c r="S687" i="3"/>
  <c r="S682" i="3"/>
  <c r="S681" i="3"/>
  <c r="S680" i="3"/>
  <c r="S562" i="3"/>
  <c r="S561" i="3"/>
  <c r="S558" i="3"/>
  <c r="S557" i="3" s="1"/>
  <c r="S556" i="3"/>
  <c r="S555" i="3"/>
  <c r="S554" i="3"/>
  <c r="S552" i="3"/>
  <c r="S551" i="3"/>
  <c r="S550" i="3"/>
  <c r="S549" i="3"/>
  <c r="S548" i="3"/>
  <c r="S544" i="3"/>
  <c r="S543" i="3"/>
  <c r="S542" i="3"/>
  <c r="S541" i="3"/>
  <c r="S540" i="3"/>
  <c r="S539" i="3"/>
  <c r="S537" i="3"/>
  <c r="S536" i="3" s="1"/>
  <c r="S534" i="3"/>
  <c r="S533" i="3" s="1"/>
  <c r="S532" i="3"/>
  <c r="S531" i="3" s="1"/>
  <c r="S530" i="3"/>
  <c r="S529" i="3"/>
  <c r="S528" i="3"/>
  <c r="S527" i="3"/>
  <c r="S526" i="3"/>
  <c r="S525" i="3"/>
  <c r="S523" i="3"/>
  <c r="S522" i="3" s="1"/>
  <c r="S521" i="3"/>
  <c r="S520" i="3" s="1"/>
  <c r="S519" i="3"/>
  <c r="S518" i="3" s="1"/>
  <c r="S517" i="3"/>
  <c r="S516" i="3" s="1"/>
  <c r="S515" i="3"/>
  <c r="S514" i="3" s="1"/>
  <c r="S513" i="3"/>
  <c r="S512" i="3"/>
  <c r="S511" i="3"/>
  <c r="S510" i="3"/>
  <c r="S509" i="3"/>
  <c r="S507" i="3"/>
  <c r="S506" i="3" s="1"/>
  <c r="S505" i="3"/>
  <c r="S504" i="3" s="1"/>
  <c r="S503" i="3"/>
  <c r="S502" i="3"/>
  <c r="S501" i="3"/>
  <c r="S500" i="3"/>
  <c r="S499" i="3"/>
  <c r="S498" i="3"/>
  <c r="S497" i="3"/>
  <c r="S496" i="3"/>
  <c r="S491" i="3"/>
  <c r="S490" i="3"/>
  <c r="S489" i="3"/>
  <c r="S488" i="3"/>
  <c r="S487" i="3"/>
  <c r="S486" i="3"/>
  <c r="S485" i="3"/>
  <c r="S484" i="3"/>
  <c r="S482" i="3"/>
  <c r="S481" i="3"/>
  <c r="S480" i="3"/>
  <c r="S479" i="3"/>
  <c r="S478" i="3"/>
  <c r="S476" i="3"/>
  <c r="S475" i="3" s="1"/>
  <c r="S474" i="3"/>
  <c r="S473" i="3" s="1"/>
  <c r="S472" i="3"/>
  <c r="S471" i="3" s="1"/>
  <c r="S470" i="3"/>
  <c r="S469" i="3" s="1"/>
  <c r="S468" i="3"/>
  <c r="S467" i="3" s="1"/>
  <c r="S464" i="3"/>
  <c r="S463" i="3" s="1"/>
  <c r="S462" i="3"/>
  <c r="S461" i="3"/>
  <c r="S460" i="3"/>
  <c r="S459" i="3"/>
  <c r="S458" i="3"/>
  <c r="S457" i="3"/>
  <c r="S456" i="3"/>
  <c r="S455" i="3"/>
  <c r="S454" i="3"/>
  <c r="S451" i="3"/>
  <c r="S450" i="3" s="1"/>
  <c r="S449" i="3"/>
  <c r="S448" i="3"/>
  <c r="S447" i="3"/>
  <c r="S446" i="3"/>
  <c r="S445" i="3"/>
  <c r="S443" i="3"/>
  <c r="S442" i="3"/>
  <c r="S441" i="3"/>
  <c r="S440" i="3"/>
  <c r="S439" i="3"/>
  <c r="S438" i="3"/>
  <c r="S437" i="3"/>
  <c r="S433" i="3"/>
  <c r="S432" i="3"/>
  <c r="S430" i="3"/>
  <c r="S429" i="3" s="1"/>
  <c r="S428" i="3"/>
  <c r="S427" i="3"/>
  <c r="S426" i="3"/>
  <c r="S425" i="3"/>
  <c r="S424" i="3"/>
  <c r="S422" i="3"/>
  <c r="S421" i="3" s="1"/>
  <c r="S420" i="3"/>
  <c r="S419" i="3" s="1"/>
  <c r="S418" i="3"/>
  <c r="S417" i="3"/>
  <c r="S416" i="3"/>
  <c r="S415" i="3"/>
  <c r="S414" i="3"/>
  <c r="S413" i="3"/>
  <c r="S411" i="3"/>
  <c r="S410" i="3" s="1"/>
  <c r="S408" i="3"/>
  <c r="S407" i="3"/>
  <c r="S406" i="3"/>
  <c r="S404" i="3"/>
  <c r="S403" i="3" s="1"/>
  <c r="S402" i="3"/>
  <c r="S401" i="3"/>
  <c r="S398" i="3"/>
  <c r="S397" i="3"/>
  <c r="S396" i="3"/>
  <c r="S394" i="3"/>
  <c r="S393" i="3" s="1"/>
  <c r="S392" i="3"/>
  <c r="S391" i="3" s="1"/>
  <c r="S390" i="3"/>
  <c r="S389" i="3"/>
  <c r="S385" i="3"/>
  <c r="S384" i="3"/>
  <c r="S383" i="3"/>
  <c r="S382" i="3"/>
  <c r="S381" i="3"/>
  <c r="S380" i="3"/>
  <c r="S379" i="3"/>
  <c r="S378" i="3"/>
  <c r="S377" i="3"/>
  <c r="S376" i="3"/>
  <c r="S375" i="3"/>
  <c r="S374" i="3"/>
  <c r="S373" i="3"/>
  <c r="S371" i="3"/>
  <c r="S370" i="3" s="1"/>
  <c r="S368" i="3"/>
  <c r="S367" i="3"/>
  <c r="S364" i="3"/>
  <c r="S363" i="3"/>
  <c r="S361" i="3"/>
  <c r="S360" i="3"/>
  <c r="S358" i="3"/>
  <c r="S357" i="3"/>
  <c r="S356" i="3"/>
  <c r="S352" i="3"/>
  <c r="S351" i="3"/>
  <c r="S350" i="3"/>
  <c r="S349" i="3"/>
  <c r="S342" i="3"/>
  <c r="S341" i="3"/>
  <c r="S340" i="3"/>
  <c r="S339" i="3"/>
  <c r="S338" i="3"/>
  <c r="S337" i="3"/>
  <c r="S336" i="3"/>
  <c r="S335" i="3"/>
  <c r="S334" i="3"/>
  <c r="S333" i="3"/>
  <c r="S332" i="3"/>
  <c r="S331" i="3"/>
  <c r="S327" i="3"/>
  <c r="S326" i="3"/>
  <c r="S325" i="3"/>
  <c r="S324" i="3"/>
  <c r="S323" i="3"/>
  <c r="S322" i="3"/>
  <c r="S321" i="3"/>
  <c r="S320" i="3"/>
  <c r="S319" i="3"/>
  <c r="S318" i="3"/>
  <c r="S317" i="3"/>
  <c r="S316" i="3"/>
  <c r="S315" i="3"/>
  <c r="S314" i="3"/>
  <c r="S313" i="3"/>
  <c r="S311" i="3"/>
  <c r="S310" i="3" s="1"/>
  <c r="S309" i="3"/>
  <c r="S308" i="3"/>
  <c r="S307" i="3"/>
  <c r="S306" i="3"/>
  <c r="S305" i="3"/>
  <c r="S303" i="3"/>
  <c r="S302" i="3"/>
  <c r="S301" i="3"/>
  <c r="S300" i="3"/>
  <c r="S299" i="3"/>
  <c r="S297" i="3"/>
  <c r="S296" i="3"/>
  <c r="S294" i="3"/>
  <c r="S293" i="3" s="1"/>
  <c r="S292" i="3"/>
  <c r="S291" i="3"/>
  <c r="S290" i="3"/>
  <c r="S289" i="3"/>
  <c r="S286" i="3"/>
  <c r="S285" i="3"/>
  <c r="S284" i="3"/>
  <c r="S283" i="3"/>
  <c r="S282" i="3"/>
  <c r="S280" i="3"/>
  <c r="S279" i="3"/>
  <c r="S278" i="3"/>
  <c r="S277" i="3"/>
  <c r="S276" i="3"/>
  <c r="S275" i="3"/>
  <c r="S274" i="3"/>
  <c r="S247" i="3"/>
  <c r="S246" i="3"/>
  <c r="S245" i="3"/>
  <c r="S242" i="3"/>
  <c r="S241" i="3"/>
  <c r="S240" i="3"/>
  <c r="S239" i="3"/>
  <c r="S238" i="3"/>
  <c r="S206" i="3"/>
  <c r="S205" i="3"/>
  <c r="S204" i="3"/>
  <c r="S163" i="3"/>
  <c r="S162" i="3" s="1"/>
  <c r="S130" i="3"/>
  <c r="S129" i="3" s="1"/>
  <c r="S16" i="3"/>
  <c r="S15" i="3" s="1"/>
  <c r="S1024" i="3" l="1"/>
  <c r="S868" i="3"/>
  <c r="S745" i="3"/>
  <c r="S436" i="3"/>
  <c r="S770" i="3"/>
  <c r="S244" i="3"/>
  <c r="S674" i="3"/>
  <c r="S372" i="3"/>
  <c r="S483" i="3"/>
  <c r="S1055" i="3"/>
  <c r="S981" i="3"/>
  <c r="S1097" i="3"/>
  <c r="R559" i="3"/>
  <c r="R921" i="3"/>
  <c r="Q559" i="3"/>
  <c r="Q921" i="3"/>
  <c r="S366" i="3"/>
  <c r="S395" i="3"/>
  <c r="S431" i="3"/>
  <c r="S237" i="3"/>
  <c r="S362" i="3"/>
  <c r="S203" i="3"/>
  <c r="S405" i="3"/>
  <c r="S330" i="3"/>
  <c r="S348" i="3"/>
  <c r="S312" i="3"/>
  <c r="S423" i="3"/>
  <c r="S281" i="3"/>
  <c r="S538" i="3"/>
  <c r="S560" i="3"/>
  <c r="S766" i="3"/>
  <c r="S797" i="3"/>
  <c r="S839" i="3"/>
  <c r="S851" i="3"/>
  <c r="S895" i="3"/>
  <c r="S1077" i="3"/>
  <c r="S784" i="3"/>
  <c r="S795" i="3"/>
  <c r="S811" i="3"/>
  <c r="S882" i="3"/>
  <c r="S899" i="3"/>
  <c r="S1088" i="3"/>
  <c r="S1111" i="3"/>
  <c r="S1048" i="3"/>
  <c r="S1039" i="3"/>
  <c r="S359" i="3"/>
  <c r="S400" i="3"/>
  <c r="S1142" i="3"/>
  <c r="S1155" i="3"/>
  <c r="S996" i="3"/>
  <c r="S1152" i="3"/>
  <c r="S295" i="3"/>
  <c r="S355" i="3"/>
  <c r="S388" i="3"/>
  <c r="S273" i="3"/>
  <c r="S288" i="3"/>
  <c r="S298" i="3"/>
  <c r="S304" i="3"/>
  <c r="S412" i="3"/>
  <c r="S444" i="3"/>
  <c r="S495" i="3"/>
  <c r="S524" i="3"/>
  <c r="S547" i="3"/>
  <c r="S553" i="3"/>
  <c r="S876" i="3"/>
  <c r="S1036" i="3"/>
  <c r="S1132" i="3"/>
  <c r="S1158" i="3"/>
  <c r="S908" i="3"/>
  <c r="S914" i="3"/>
  <c r="S1052" i="3"/>
  <c r="S1107" i="3"/>
  <c r="S1177" i="3"/>
  <c r="S453" i="3"/>
  <c r="S477" i="3"/>
  <c r="S508" i="3"/>
  <c r="S787" i="3"/>
  <c r="S804" i="3"/>
  <c r="S828" i="3"/>
  <c r="S846" i="3"/>
  <c r="S1062" i="3"/>
  <c r="S1069" i="3"/>
  <c r="S1104" i="3"/>
  <c r="S1116" i="3"/>
  <c r="S1162" i="3"/>
  <c r="S1167" i="3"/>
  <c r="S1174" i="3"/>
  <c r="S1187" i="3"/>
  <c r="Q14" i="3" l="1"/>
  <c r="Q13" i="3" s="1"/>
  <c r="R14" i="3"/>
  <c r="R13" i="3" s="1"/>
  <c r="S921" i="3"/>
  <c r="S559" i="3"/>
  <c r="S14" i="3" l="1"/>
  <c r="S13" i="3" s="1"/>
  <c r="N1188" i="7"/>
  <c r="N233" i="7" l="1"/>
  <c r="D79" i="5" l="1"/>
  <c r="E79" i="5"/>
  <c r="F79" i="5"/>
  <c r="C79" i="5"/>
  <c r="D9" i="10"/>
  <c r="E9" i="10"/>
  <c r="F9" i="10"/>
  <c r="C9" i="10"/>
  <c r="J52" i="9"/>
  <c r="L52" i="9"/>
  <c r="I52" i="9"/>
  <c r="P52" i="9" s="1"/>
  <c r="J60" i="9"/>
  <c r="K60" i="9"/>
  <c r="L60" i="9"/>
  <c r="I60" i="9"/>
  <c r="P60" i="9" s="1"/>
  <c r="J58" i="9"/>
  <c r="K58" i="9"/>
  <c r="L58" i="9"/>
  <c r="I58" i="9"/>
  <c r="P58" i="9" s="1"/>
  <c r="B61" i="9"/>
  <c r="B59" i="9"/>
  <c r="B55" i="9"/>
  <c r="J1191" i="3"/>
  <c r="K1191" i="3"/>
  <c r="L1191" i="3"/>
  <c r="I1191" i="3"/>
  <c r="T1191" i="3" s="1"/>
  <c r="J1187" i="3"/>
  <c r="K1187" i="3"/>
  <c r="L1187" i="3"/>
  <c r="I1187" i="3"/>
  <c r="T1187" i="3" s="1"/>
  <c r="J1185" i="3"/>
  <c r="K1185" i="3"/>
  <c r="L1185" i="3"/>
  <c r="I1185" i="3"/>
  <c r="T1185" i="3" s="1"/>
  <c r="J1183" i="3"/>
  <c r="K1183" i="3"/>
  <c r="L1183" i="3"/>
  <c r="J1181" i="3"/>
  <c r="K1181" i="3"/>
  <c r="L1181" i="3"/>
  <c r="I1183" i="3"/>
  <c r="T1183" i="3" s="1"/>
  <c r="I1181" i="3"/>
  <c r="T1181" i="3" s="1"/>
  <c r="J1177" i="3"/>
  <c r="K1177" i="3"/>
  <c r="L1177" i="3"/>
  <c r="I1177" i="3"/>
  <c r="T1177" i="3" s="1"/>
  <c r="J1174" i="3"/>
  <c r="K1174" i="3"/>
  <c r="L1174" i="3"/>
  <c r="I1174" i="3"/>
  <c r="T1174" i="3" s="1"/>
  <c r="J1172" i="3"/>
  <c r="K1172" i="3"/>
  <c r="L1172" i="3"/>
  <c r="I1172" i="3"/>
  <c r="T1172" i="3" s="1"/>
  <c r="J1170" i="3"/>
  <c r="K1170" i="3"/>
  <c r="L1170" i="3"/>
  <c r="I1170" i="3"/>
  <c r="T1170" i="3" s="1"/>
  <c r="J1167" i="3"/>
  <c r="K1167" i="3"/>
  <c r="L1167" i="3"/>
  <c r="I1167" i="3"/>
  <c r="T1167" i="3" s="1"/>
  <c r="J1162" i="3"/>
  <c r="K1162" i="3"/>
  <c r="L1162" i="3"/>
  <c r="I1162" i="3"/>
  <c r="T1162" i="3" s="1"/>
  <c r="J1158" i="3"/>
  <c r="K1158" i="3"/>
  <c r="L1158" i="3"/>
  <c r="I1158" i="3"/>
  <c r="T1158" i="3" s="1"/>
  <c r="J1155" i="3"/>
  <c r="K1155" i="3"/>
  <c r="L1155" i="3"/>
  <c r="I1155" i="3"/>
  <c r="T1155" i="3" s="1"/>
  <c r="J1152" i="3"/>
  <c r="K1152" i="3"/>
  <c r="L1152" i="3"/>
  <c r="I1152" i="3"/>
  <c r="T1152" i="3" s="1"/>
  <c r="J1150" i="3"/>
  <c r="K1150" i="3"/>
  <c r="L1150" i="3"/>
  <c r="I1150" i="3"/>
  <c r="T1150" i="3" s="1"/>
  <c r="J1148" i="3"/>
  <c r="K1148" i="3"/>
  <c r="L1148" i="3"/>
  <c r="I1148" i="3"/>
  <c r="T1148" i="3" s="1"/>
  <c r="J1146" i="3"/>
  <c r="K1146" i="3"/>
  <c r="L1146" i="3"/>
  <c r="I1146" i="3"/>
  <c r="T1146" i="3" s="1"/>
  <c r="AE48" i="8"/>
  <c r="J1142" i="3"/>
  <c r="K1142" i="3"/>
  <c r="L1142" i="3"/>
  <c r="I1142" i="3"/>
  <c r="T1142" i="3" s="1"/>
  <c r="J1140" i="3"/>
  <c r="K1140" i="3"/>
  <c r="L1140" i="3"/>
  <c r="I1140" i="3"/>
  <c r="T1140" i="3" s="1"/>
  <c r="J1138" i="3"/>
  <c r="K1138" i="3"/>
  <c r="L1138" i="3"/>
  <c r="I1138" i="3"/>
  <c r="T1138" i="3" s="1"/>
  <c r="J1136" i="3"/>
  <c r="K1136" i="3"/>
  <c r="L1136" i="3"/>
  <c r="I1136" i="3"/>
  <c r="T1136" i="3" s="1"/>
  <c r="J1132" i="3"/>
  <c r="K1132" i="3"/>
  <c r="L1132" i="3"/>
  <c r="I1132" i="3"/>
  <c r="T1132" i="3" s="1"/>
  <c r="J1130" i="3"/>
  <c r="K1130" i="3"/>
  <c r="L1130" i="3"/>
  <c r="I1130" i="3"/>
  <c r="T1130" i="3" s="1"/>
  <c r="J1120" i="3"/>
  <c r="K1120" i="3"/>
  <c r="L1120" i="3"/>
  <c r="J1122" i="3"/>
  <c r="K1122" i="3"/>
  <c r="L1122" i="3"/>
  <c r="J1124" i="3"/>
  <c r="K1124" i="3"/>
  <c r="L1124" i="3"/>
  <c r="J1126" i="3"/>
  <c r="K1126" i="3"/>
  <c r="L1126" i="3"/>
  <c r="J1128" i="3"/>
  <c r="K1128" i="3"/>
  <c r="L1128" i="3"/>
  <c r="I1128" i="3"/>
  <c r="T1128" i="3" s="1"/>
  <c r="I1126" i="3"/>
  <c r="T1126" i="3" s="1"/>
  <c r="I1124" i="3"/>
  <c r="T1124" i="3" s="1"/>
  <c r="I1122" i="3"/>
  <c r="T1122" i="3" s="1"/>
  <c r="I1120" i="3"/>
  <c r="T1120" i="3" s="1"/>
  <c r="J1116" i="3"/>
  <c r="K1116" i="3"/>
  <c r="L1116" i="3"/>
  <c r="I1116" i="3"/>
  <c r="T1116" i="3" s="1"/>
  <c r="J1114" i="3"/>
  <c r="K1114" i="3"/>
  <c r="L1114" i="3"/>
  <c r="I1114" i="3"/>
  <c r="T1114" i="3" s="1"/>
  <c r="J1111" i="3"/>
  <c r="K1111" i="3"/>
  <c r="L1111" i="3"/>
  <c r="I1111" i="3"/>
  <c r="T1111" i="3" s="1"/>
  <c r="J1107" i="3"/>
  <c r="K1107" i="3"/>
  <c r="L1107" i="3"/>
  <c r="I1107" i="3"/>
  <c r="T1107" i="3" s="1"/>
  <c r="J1104" i="3"/>
  <c r="K1104" i="3"/>
  <c r="L1104" i="3"/>
  <c r="I1104" i="3"/>
  <c r="T1104" i="3" s="1"/>
  <c r="T1097" i="3"/>
  <c r="J1095" i="3"/>
  <c r="K1095" i="3"/>
  <c r="L1095" i="3"/>
  <c r="I1095" i="3"/>
  <c r="T1095" i="3" s="1"/>
  <c r="J1093" i="3"/>
  <c r="K1093" i="3"/>
  <c r="L1093" i="3"/>
  <c r="I1093" i="3"/>
  <c r="T1093" i="3" s="1"/>
  <c r="J1091" i="3"/>
  <c r="K1091" i="3"/>
  <c r="L1091" i="3"/>
  <c r="I1091" i="3"/>
  <c r="T1091" i="3" s="1"/>
  <c r="J1088" i="3"/>
  <c r="K1088" i="3"/>
  <c r="L1088" i="3"/>
  <c r="I1088" i="3"/>
  <c r="T1088" i="3" s="1"/>
  <c r="J1086" i="3"/>
  <c r="K1086" i="3"/>
  <c r="L1086" i="3"/>
  <c r="I1086" i="3"/>
  <c r="T1086" i="3" s="1"/>
  <c r="J1084" i="3"/>
  <c r="K1084" i="3"/>
  <c r="L1084" i="3"/>
  <c r="I1084" i="3"/>
  <c r="T1084" i="3" s="1"/>
  <c r="J1082" i="3"/>
  <c r="K1082" i="3"/>
  <c r="L1082" i="3"/>
  <c r="I1082" i="3"/>
  <c r="T1082" i="3" s="1"/>
  <c r="J1080" i="3"/>
  <c r="K1080" i="3"/>
  <c r="L1080" i="3"/>
  <c r="I1080" i="3"/>
  <c r="T1080" i="3" s="1"/>
  <c r="J1077" i="3"/>
  <c r="K1077" i="3"/>
  <c r="L1077" i="3"/>
  <c r="I1077" i="3"/>
  <c r="T1077" i="3" s="1"/>
  <c r="J1069" i="3"/>
  <c r="K1069" i="3"/>
  <c r="L1069" i="3"/>
  <c r="I1069" i="3"/>
  <c r="T1069" i="3" s="1"/>
  <c r="J1065" i="3"/>
  <c r="K1065" i="3"/>
  <c r="L1065" i="3"/>
  <c r="T1067" i="3"/>
  <c r="I1065" i="3"/>
  <c r="T1065" i="3" s="1"/>
  <c r="J1058" i="3"/>
  <c r="K1058" i="3"/>
  <c r="L1058" i="3"/>
  <c r="J1060" i="3"/>
  <c r="K1060" i="3"/>
  <c r="L1060" i="3"/>
  <c r="J1062" i="3"/>
  <c r="K1062" i="3"/>
  <c r="L1062" i="3"/>
  <c r="I1062" i="3"/>
  <c r="T1062" i="3" s="1"/>
  <c r="I1060" i="3"/>
  <c r="T1060" i="3" s="1"/>
  <c r="I1058" i="3"/>
  <c r="T1058" i="3" s="1"/>
  <c r="T1055" i="3"/>
  <c r="J1052" i="3"/>
  <c r="K1052" i="3"/>
  <c r="L1052" i="3"/>
  <c r="I1052" i="3"/>
  <c r="T1052" i="3" s="1"/>
  <c r="J1048" i="3"/>
  <c r="K1048" i="3"/>
  <c r="L1048" i="3"/>
  <c r="I1048" i="3"/>
  <c r="T1048" i="3" s="1"/>
  <c r="J1039" i="3"/>
  <c r="K1039" i="3"/>
  <c r="L1039" i="3"/>
  <c r="I1039" i="3"/>
  <c r="T1039" i="3" s="1"/>
  <c r="J1036" i="3"/>
  <c r="K1036" i="3"/>
  <c r="L1036" i="3"/>
  <c r="I1036" i="3"/>
  <c r="T1036" i="3" s="1"/>
  <c r="T1024" i="3"/>
  <c r="J996" i="3"/>
  <c r="K996" i="3"/>
  <c r="L996" i="3"/>
  <c r="T996" i="3"/>
  <c r="T981" i="3"/>
  <c r="J917" i="3"/>
  <c r="K917" i="3"/>
  <c r="L917" i="3"/>
  <c r="J919" i="3"/>
  <c r="K919" i="3"/>
  <c r="L919" i="3"/>
  <c r="I919" i="3"/>
  <c r="T919" i="3" s="1"/>
  <c r="I917" i="3"/>
  <c r="T917" i="3" s="1"/>
  <c r="J912" i="3"/>
  <c r="K912" i="3"/>
  <c r="L912" i="3"/>
  <c r="J914" i="3"/>
  <c r="K914" i="3"/>
  <c r="L914" i="3"/>
  <c r="I914" i="3"/>
  <c r="T914" i="3" s="1"/>
  <c r="I912" i="3"/>
  <c r="T912" i="3" s="1"/>
  <c r="J908" i="3"/>
  <c r="K908" i="3"/>
  <c r="L908" i="3"/>
  <c r="I908" i="3"/>
  <c r="T908" i="3" s="1"/>
  <c r="J902" i="3"/>
  <c r="K902" i="3"/>
  <c r="L902" i="3"/>
  <c r="J904" i="3"/>
  <c r="K904" i="3"/>
  <c r="L904" i="3"/>
  <c r="J906" i="3"/>
  <c r="K906" i="3"/>
  <c r="L906" i="3"/>
  <c r="I906" i="3"/>
  <c r="T906" i="3" s="1"/>
  <c r="I904" i="3"/>
  <c r="T904" i="3" s="1"/>
  <c r="I902" i="3"/>
  <c r="T902" i="3" s="1"/>
  <c r="J899" i="3"/>
  <c r="K899" i="3"/>
  <c r="L899" i="3"/>
  <c r="I899" i="3"/>
  <c r="T899" i="3" s="1"/>
  <c r="J895" i="3"/>
  <c r="K895" i="3"/>
  <c r="L895" i="3"/>
  <c r="I895" i="3"/>
  <c r="T895" i="3" s="1"/>
  <c r="J891" i="3"/>
  <c r="K891" i="3"/>
  <c r="L891" i="3"/>
  <c r="I891" i="3"/>
  <c r="T891" i="3" s="1"/>
  <c r="J889" i="3"/>
  <c r="K889" i="3"/>
  <c r="L889" i="3"/>
  <c r="I889" i="3"/>
  <c r="T889" i="3" s="1"/>
  <c r="J887" i="3"/>
  <c r="K887" i="3"/>
  <c r="L887" i="3"/>
  <c r="I887" i="3"/>
  <c r="T887" i="3" s="1"/>
  <c r="J885" i="3"/>
  <c r="K885" i="3"/>
  <c r="L885" i="3"/>
  <c r="I885" i="3"/>
  <c r="T885" i="3" s="1"/>
  <c r="J882" i="3"/>
  <c r="K882" i="3"/>
  <c r="L882" i="3"/>
  <c r="I882" i="3"/>
  <c r="T882" i="3" s="1"/>
  <c r="J876" i="3"/>
  <c r="K876" i="3"/>
  <c r="L876" i="3"/>
  <c r="I876" i="3"/>
  <c r="T876" i="3" s="1"/>
  <c r="J874" i="3"/>
  <c r="K874" i="3"/>
  <c r="L874" i="3"/>
  <c r="I874" i="3"/>
  <c r="T874" i="3" s="1"/>
  <c r="J862" i="3"/>
  <c r="K862" i="3"/>
  <c r="L862" i="3"/>
  <c r="J864" i="3"/>
  <c r="K864" i="3"/>
  <c r="L864" i="3"/>
  <c r="J866" i="3"/>
  <c r="K866" i="3"/>
  <c r="L866" i="3"/>
  <c r="J872" i="3"/>
  <c r="K872" i="3"/>
  <c r="L872" i="3"/>
  <c r="I872" i="3"/>
  <c r="T872" i="3" s="1"/>
  <c r="T868" i="3"/>
  <c r="I866" i="3"/>
  <c r="T866" i="3" s="1"/>
  <c r="I864" i="3"/>
  <c r="T864" i="3" s="1"/>
  <c r="I862" i="3"/>
  <c r="T862" i="3" s="1"/>
  <c r="J854" i="3"/>
  <c r="K854" i="3"/>
  <c r="L854" i="3"/>
  <c r="J856" i="3"/>
  <c r="K856" i="3"/>
  <c r="L856" i="3"/>
  <c r="J858" i="3"/>
  <c r="K858" i="3"/>
  <c r="L858" i="3"/>
  <c r="J860" i="3"/>
  <c r="K860" i="3"/>
  <c r="L860" i="3"/>
  <c r="I860" i="3"/>
  <c r="T860" i="3" s="1"/>
  <c r="I858" i="3"/>
  <c r="T858" i="3" s="1"/>
  <c r="I856" i="3"/>
  <c r="T856" i="3" s="1"/>
  <c r="I854" i="3"/>
  <c r="T854" i="3" s="1"/>
  <c r="J851" i="3"/>
  <c r="K851" i="3"/>
  <c r="L851" i="3"/>
  <c r="I851" i="3"/>
  <c r="T851" i="3" s="1"/>
  <c r="J846" i="3"/>
  <c r="K846" i="3"/>
  <c r="L846" i="3"/>
  <c r="J844" i="3"/>
  <c r="K844" i="3"/>
  <c r="L844" i="3"/>
  <c r="J842" i="3"/>
  <c r="K842" i="3"/>
  <c r="L842" i="3"/>
  <c r="J839" i="3"/>
  <c r="K839" i="3"/>
  <c r="L839" i="3"/>
  <c r="J837" i="3"/>
  <c r="K837" i="3"/>
  <c r="L837" i="3"/>
  <c r="I846" i="3"/>
  <c r="T846" i="3" s="1"/>
  <c r="I844" i="3"/>
  <c r="T844" i="3" s="1"/>
  <c r="I842" i="3"/>
  <c r="T842" i="3" s="1"/>
  <c r="I839" i="3"/>
  <c r="T839" i="3" s="1"/>
  <c r="I837" i="3"/>
  <c r="T837" i="3" s="1"/>
  <c r="J828" i="3"/>
  <c r="K828" i="3"/>
  <c r="L828" i="3"/>
  <c r="I828" i="3"/>
  <c r="T828" i="3" s="1"/>
  <c r="J820" i="3"/>
  <c r="K820" i="3"/>
  <c r="L820" i="3"/>
  <c r="J822" i="3"/>
  <c r="K822" i="3"/>
  <c r="L822" i="3"/>
  <c r="J824" i="3"/>
  <c r="K824" i="3"/>
  <c r="L824" i="3"/>
  <c r="J826" i="3"/>
  <c r="K826" i="3"/>
  <c r="L826" i="3"/>
  <c r="I826" i="3"/>
  <c r="T826" i="3" s="1"/>
  <c r="I824" i="3"/>
  <c r="T824" i="3" s="1"/>
  <c r="I822" i="3"/>
  <c r="T822" i="3" s="1"/>
  <c r="I820" i="3"/>
  <c r="T820" i="3" s="1"/>
  <c r="J814" i="3"/>
  <c r="K814" i="3"/>
  <c r="L814" i="3"/>
  <c r="J816" i="3"/>
  <c r="K816" i="3"/>
  <c r="L816" i="3"/>
  <c r="J818" i="3"/>
  <c r="K818" i="3"/>
  <c r="L818" i="3"/>
  <c r="I818" i="3"/>
  <c r="T818" i="3" s="1"/>
  <c r="I816" i="3"/>
  <c r="T816" i="3" s="1"/>
  <c r="I814" i="3"/>
  <c r="T814" i="3" s="1"/>
  <c r="J811" i="3"/>
  <c r="K811" i="3"/>
  <c r="L811" i="3"/>
  <c r="I811" i="3"/>
  <c r="T811" i="3" s="1"/>
  <c r="J804" i="3"/>
  <c r="K804" i="3"/>
  <c r="L804" i="3"/>
  <c r="I804" i="3"/>
  <c r="T804" i="3" s="1"/>
  <c r="J800" i="3"/>
  <c r="K800" i="3"/>
  <c r="L800" i="3"/>
  <c r="T802" i="3"/>
  <c r="I800" i="3"/>
  <c r="T800" i="3" s="1"/>
  <c r="I921" i="3" l="1"/>
  <c r="T921" i="3" s="1"/>
  <c r="L921" i="3"/>
  <c r="K921" i="3"/>
  <c r="J921" i="3"/>
  <c r="L797" i="3" l="1"/>
  <c r="J797" i="3"/>
  <c r="K797" i="3"/>
  <c r="I797" i="3"/>
  <c r="T797" i="3" s="1"/>
  <c r="J795" i="3"/>
  <c r="K795" i="3"/>
  <c r="L795" i="3"/>
  <c r="I795" i="3"/>
  <c r="T795" i="3" s="1"/>
  <c r="T792" i="3"/>
  <c r="J787" i="3"/>
  <c r="K787" i="3"/>
  <c r="L787" i="3"/>
  <c r="I787" i="3"/>
  <c r="T787" i="3" s="1"/>
  <c r="J784" i="3"/>
  <c r="K784" i="3"/>
  <c r="L784" i="3"/>
  <c r="I784" i="3"/>
  <c r="T784" i="3" s="1"/>
  <c r="T770" i="3"/>
  <c r="J766" i="3"/>
  <c r="K766" i="3"/>
  <c r="L766" i="3"/>
  <c r="I766" i="3"/>
  <c r="T766" i="3" s="1"/>
  <c r="J557" i="3"/>
  <c r="K557" i="3"/>
  <c r="L557" i="3"/>
  <c r="I557" i="3"/>
  <c r="T557" i="3" s="1"/>
  <c r="J553" i="3"/>
  <c r="K553" i="3"/>
  <c r="L553" i="3"/>
  <c r="J547" i="3"/>
  <c r="K547" i="3"/>
  <c r="L547" i="3"/>
  <c r="J531" i="3"/>
  <c r="K531" i="3"/>
  <c r="L531" i="3"/>
  <c r="J536" i="3"/>
  <c r="K536" i="3"/>
  <c r="L536" i="3"/>
  <c r="I536" i="3"/>
  <c r="T536" i="3" s="1"/>
  <c r="I531" i="3"/>
  <c r="T531" i="3" s="1"/>
  <c r="J514" i="3"/>
  <c r="K514" i="3"/>
  <c r="L514" i="3"/>
  <c r="J516" i="3"/>
  <c r="K516" i="3"/>
  <c r="L516" i="3"/>
  <c r="J518" i="3"/>
  <c r="K518" i="3"/>
  <c r="L518" i="3"/>
  <c r="J520" i="3"/>
  <c r="K520" i="3"/>
  <c r="L520" i="3"/>
  <c r="J522" i="3"/>
  <c r="K522" i="3"/>
  <c r="L522" i="3"/>
  <c r="J524" i="3"/>
  <c r="K524" i="3"/>
  <c r="L524" i="3"/>
  <c r="I522" i="3"/>
  <c r="T522" i="3" s="1"/>
  <c r="I520" i="3"/>
  <c r="T520" i="3" s="1"/>
  <c r="I518" i="3"/>
  <c r="T518" i="3" s="1"/>
  <c r="I516" i="3"/>
  <c r="T516" i="3" s="1"/>
  <c r="I514" i="3"/>
  <c r="T514" i="3" s="1"/>
  <c r="J508" i="3"/>
  <c r="K508" i="3"/>
  <c r="L508" i="3"/>
  <c r="J506" i="3"/>
  <c r="L506" i="3"/>
  <c r="I506" i="3"/>
  <c r="T506" i="3" s="1"/>
  <c r="J504" i="3"/>
  <c r="K504" i="3"/>
  <c r="L504" i="3"/>
  <c r="J495" i="3"/>
  <c r="K495" i="3"/>
  <c r="L495" i="3"/>
  <c r="J477" i="3"/>
  <c r="K477" i="3"/>
  <c r="L477" i="3"/>
  <c r="J475" i="3"/>
  <c r="K475" i="3"/>
  <c r="L475" i="3"/>
  <c r="I475" i="3"/>
  <c r="T475" i="3" s="1"/>
  <c r="J463" i="3"/>
  <c r="K463" i="3"/>
  <c r="L463" i="3"/>
  <c r="J467" i="3"/>
  <c r="K467" i="3"/>
  <c r="L467" i="3"/>
  <c r="J469" i="3"/>
  <c r="K469" i="3"/>
  <c r="L469" i="3"/>
  <c r="J471" i="3"/>
  <c r="K471" i="3"/>
  <c r="L471" i="3"/>
  <c r="J473" i="3"/>
  <c r="K473" i="3"/>
  <c r="L473" i="3"/>
  <c r="I473" i="3"/>
  <c r="T473" i="3" s="1"/>
  <c r="I471" i="3"/>
  <c r="T471" i="3" s="1"/>
  <c r="I469" i="3"/>
  <c r="T469" i="3" s="1"/>
  <c r="I467" i="3"/>
  <c r="T467" i="3" s="1"/>
  <c r="I463" i="3"/>
  <c r="J453" i="3"/>
  <c r="K453" i="3"/>
  <c r="L453" i="3"/>
  <c r="J444" i="3"/>
  <c r="K444" i="3"/>
  <c r="L444" i="3"/>
  <c r="J429" i="3"/>
  <c r="K429" i="3"/>
  <c r="L429" i="3"/>
  <c r="I429" i="3"/>
  <c r="T429" i="3" s="1"/>
  <c r="J419" i="3"/>
  <c r="K419" i="3"/>
  <c r="L419" i="3"/>
  <c r="J421" i="3"/>
  <c r="K421" i="3"/>
  <c r="L421" i="3"/>
  <c r="I421" i="3"/>
  <c r="T421" i="3" s="1"/>
  <c r="I419" i="3"/>
  <c r="T419" i="3" s="1"/>
  <c r="J412" i="3"/>
  <c r="K412" i="3"/>
  <c r="L412" i="3"/>
  <c r="J410" i="3"/>
  <c r="K410" i="3"/>
  <c r="L410" i="3"/>
  <c r="I410" i="3"/>
  <c r="T410" i="3" s="1"/>
  <c r="J403" i="3"/>
  <c r="K403" i="3"/>
  <c r="L403" i="3"/>
  <c r="I403" i="3"/>
  <c r="T403" i="3" s="1"/>
  <c r="J400" i="3"/>
  <c r="K400" i="3"/>
  <c r="L400" i="3"/>
  <c r="J393" i="3"/>
  <c r="K393" i="3"/>
  <c r="L393" i="3"/>
  <c r="I393" i="3"/>
  <c r="T393" i="3" s="1"/>
  <c r="J391" i="3"/>
  <c r="K391" i="3"/>
  <c r="L391" i="3"/>
  <c r="I391" i="3"/>
  <c r="T391" i="3" s="1"/>
  <c r="J388" i="3"/>
  <c r="K388" i="3"/>
  <c r="L388" i="3"/>
  <c r="J370" i="3"/>
  <c r="K370" i="3"/>
  <c r="L370" i="3"/>
  <c r="I370" i="3"/>
  <c r="T370" i="3" s="1"/>
  <c r="J359" i="3"/>
  <c r="K359" i="3"/>
  <c r="L359" i="3"/>
  <c r="J355" i="3"/>
  <c r="K355" i="3"/>
  <c r="L355" i="3"/>
  <c r="J310" i="3"/>
  <c r="K310" i="3"/>
  <c r="L310" i="3"/>
  <c r="I310" i="3"/>
  <c r="T310" i="3" s="1"/>
  <c r="J304" i="3"/>
  <c r="K304" i="3"/>
  <c r="L304" i="3"/>
  <c r="J298" i="3"/>
  <c r="K298" i="3"/>
  <c r="L298" i="3"/>
  <c r="J295" i="3"/>
  <c r="K295" i="3"/>
  <c r="L295" i="3"/>
  <c r="J293" i="3"/>
  <c r="K293" i="3"/>
  <c r="L293" i="3"/>
  <c r="I293" i="3"/>
  <c r="J288" i="3"/>
  <c r="K288" i="3"/>
  <c r="L288" i="3"/>
  <c r="J273" i="3"/>
  <c r="K273" i="3"/>
  <c r="L273" i="3"/>
  <c r="T463" i="3" l="1"/>
  <c r="T293" i="3"/>
  <c r="U469" i="3"/>
  <c r="K507" i="3" l="1"/>
  <c r="K506" i="3" s="1"/>
  <c r="N277" i="7"/>
  <c r="AC277" i="7" s="1"/>
  <c r="D277" i="7" s="1"/>
  <c r="B16" i="3"/>
  <c r="B923" i="3" l="1"/>
  <c r="B561" i="3"/>
  <c r="AD480" i="7"/>
  <c r="AD479" i="7" s="1"/>
  <c r="AC276" i="7"/>
  <c r="AC488" i="7"/>
  <c r="D488" i="7" s="1"/>
  <c r="D276" i="7" l="1"/>
  <c r="D200" i="7" l="1"/>
  <c r="D202" i="7"/>
  <c r="D203" i="7"/>
  <c r="D204" i="7"/>
  <c r="D201" i="7"/>
  <c r="N478" i="7" l="1"/>
  <c r="G53" i="8"/>
  <c r="H53" i="8"/>
  <c r="I53" i="8"/>
  <c r="J53" i="8"/>
  <c r="K53" i="8"/>
  <c r="L53" i="8"/>
  <c r="M53" i="8"/>
  <c r="N53" i="8"/>
  <c r="O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F53" i="8"/>
  <c r="AG53" i="8"/>
  <c r="AE56" i="8"/>
  <c r="F56" i="8" s="1"/>
  <c r="AC478" i="7" l="1"/>
  <c r="D478" i="7" s="1"/>
  <c r="D477" i="7" s="1"/>
  <c r="N477" i="7"/>
  <c r="B56" i="8"/>
  <c r="AE60" i="8"/>
  <c r="AE62" i="8"/>
  <c r="AE61" i="8" l="1"/>
  <c r="F62" i="8"/>
  <c r="F61" i="8" s="1"/>
  <c r="AC477" i="7"/>
  <c r="E61" i="8"/>
  <c r="B62" i="8"/>
  <c r="B60" i="8"/>
  <c r="B58" i="8"/>
  <c r="B55" i="8"/>
  <c r="B54" i="8"/>
  <c r="B52" i="8"/>
  <c r="B50" i="8"/>
  <c r="B48" i="8"/>
  <c r="B46" i="8"/>
  <c r="B45" i="8"/>
  <c r="B44" i="8"/>
  <c r="B42" i="8"/>
  <c r="B40" i="8"/>
  <c r="B38" i="8"/>
  <c r="B37" i="8"/>
  <c r="B36" i="8"/>
  <c r="B34" i="8"/>
  <c r="B33" i="8"/>
  <c r="B31" i="8"/>
  <c r="B30" i="8"/>
  <c r="B28" i="8"/>
  <c r="B26" i="8"/>
  <c r="B24" i="8"/>
  <c r="B20" i="8"/>
  <c r="B19" i="8"/>
  <c r="B18" i="8"/>
  <c r="B17" i="8"/>
  <c r="B16" i="8"/>
  <c r="B15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F60" i="8"/>
  <c r="F59" i="8" s="1"/>
  <c r="E59" i="8"/>
  <c r="AE58" i="8"/>
  <c r="F58" i="8" s="1"/>
  <c r="P562" i="7" l="1"/>
  <c r="R561" i="7"/>
  <c r="AC166" i="7"/>
  <c r="AC164" i="7"/>
  <c r="D164" i="7" s="1"/>
  <c r="D166" i="7" l="1"/>
  <c r="AC561" i="7"/>
  <c r="D561" i="7" s="1"/>
  <c r="R559" i="7"/>
  <c r="AC562" i="7"/>
  <c r="D562" i="7" s="1"/>
  <c r="P559" i="7"/>
  <c r="AC165" i="7"/>
  <c r="D165" i="7" s="1"/>
  <c r="H374" i="7"/>
  <c r="H372" i="7" s="1"/>
  <c r="AC497" i="7"/>
  <c r="D497" i="7" s="1"/>
  <c r="N496" i="7"/>
  <c r="G509" i="7"/>
  <c r="N436" i="7"/>
  <c r="N489" i="7" l="1"/>
  <c r="AC496" i="7"/>
  <c r="D496" i="7" s="1"/>
  <c r="AC509" i="7"/>
  <c r="D509" i="7" s="1"/>
  <c r="G501" i="7"/>
  <c r="N470" i="7" l="1"/>
  <c r="N469" i="7" s="1"/>
  <c r="N1192" i="7"/>
  <c r="N456" i="7"/>
  <c r="N369" i="7"/>
  <c r="N368" i="7" s="1"/>
  <c r="N373" i="7"/>
  <c r="N372" i="7" s="1"/>
  <c r="N438" i="7" l="1"/>
  <c r="N437" i="7" s="1"/>
  <c r="N281" i="7"/>
  <c r="N280" i="7"/>
  <c r="N399" i="7"/>
  <c r="N366" i="7"/>
  <c r="U404" i="7"/>
  <c r="U401" i="7" s="1"/>
  <c r="N301" i="7"/>
  <c r="N311" i="7"/>
  <c r="N310" i="7" s="1"/>
  <c r="N316" i="7"/>
  <c r="AC821" i="7"/>
  <c r="D821" i="7" l="1"/>
  <c r="D820" i="7" s="1"/>
  <c r="AC820" i="7"/>
  <c r="N279" i="7"/>
  <c r="N365" i="7" l="1"/>
  <c r="AD426" i="7"/>
  <c r="AD425" i="7" s="1"/>
  <c r="AC306" i="7"/>
  <c r="AC309" i="7"/>
  <c r="AC308" i="7"/>
  <c r="AC307" i="7"/>
  <c r="AC396" i="7"/>
  <c r="D199" i="7" l="1"/>
  <c r="N557" i="7" l="1"/>
  <c r="N553" i="7" s="1"/>
  <c r="AC558" i="7" l="1"/>
  <c r="G529" i="7" l="1"/>
  <c r="N894" i="7"/>
  <c r="N893" i="7" s="1"/>
  <c r="V300" i="7"/>
  <c r="N410" i="7"/>
  <c r="N409" i="7" s="1"/>
  <c r="AC414" i="7"/>
  <c r="AC413" i="7"/>
  <c r="AC417" i="7"/>
  <c r="AC416" i="7" s="1"/>
  <c r="N243" i="7"/>
  <c r="G546" i="7"/>
  <c r="G544" i="7" s="1"/>
  <c r="N534" i="7"/>
  <c r="G296" i="7"/>
  <c r="G294" i="7" s="1"/>
  <c r="N1171" i="7"/>
  <c r="AC508" i="7"/>
  <c r="D508" i="7" s="1"/>
  <c r="G448" i="7"/>
  <c r="AC449" i="7"/>
  <c r="AC300" i="7" l="1"/>
  <c r="AC299" i="7" s="1"/>
  <c r="V299" i="7"/>
  <c r="AC448" i="7"/>
  <c r="AC447" i="7"/>
  <c r="AC446" i="7"/>
  <c r="AC445" i="7"/>
  <c r="N467" i="7"/>
  <c r="N434" i="7"/>
  <c r="N459" i="7" l="1"/>
  <c r="AC233" i="7"/>
  <c r="D233" i="7" s="1"/>
  <c r="R291" i="7"/>
  <c r="R287" i="7" s="1"/>
  <c r="G370" i="7"/>
  <c r="G368" i="7" s="1"/>
  <c r="R327" i="7"/>
  <c r="R318" i="7" s="1"/>
  <c r="AC529" i="7"/>
  <c r="AC892" i="7"/>
  <c r="AC891" i="7" s="1"/>
  <c r="N450" i="7" l="1"/>
  <c r="N423" i="7"/>
  <c r="N418" i="7" s="1"/>
  <c r="AC513" i="7"/>
  <c r="D513" i="7" s="1"/>
  <c r="E512" i="7" l="1"/>
  <c r="F512" i="7"/>
  <c r="G512" i="7"/>
  <c r="H512" i="7"/>
  <c r="I512" i="7"/>
  <c r="J512" i="7"/>
  <c r="K512" i="7"/>
  <c r="L512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AD512" i="7"/>
  <c r="AE512" i="7"/>
  <c r="D512" i="7"/>
  <c r="D1169" i="7" l="1"/>
  <c r="D1082" i="7"/>
  <c r="D1034" i="7"/>
  <c r="D1029" i="7"/>
  <c r="D1025" i="7"/>
  <c r="D1016" i="7"/>
  <c r="D986" i="7"/>
  <c r="D985" i="7"/>
  <c r="D978" i="7"/>
  <c r="D953" i="7"/>
  <c r="D786" i="7"/>
  <c r="D773" i="7"/>
  <c r="D759" i="7"/>
  <c r="D758" i="7"/>
  <c r="D756" i="7"/>
  <c r="D754" i="7"/>
  <c r="D753" i="7"/>
  <c r="D697" i="7"/>
  <c r="D600" i="7"/>
  <c r="D589" i="7"/>
  <c r="D572" i="7"/>
  <c r="D571" i="7"/>
  <c r="D330" i="7"/>
  <c r="D324" i="7"/>
  <c r="D323" i="7"/>
  <c r="D322" i="7"/>
  <c r="D321" i="7"/>
  <c r="D300" i="7"/>
  <c r="D299" i="7" s="1"/>
  <c r="D258" i="7"/>
  <c r="D254" i="7"/>
  <c r="D251" i="7"/>
  <c r="D248" i="7"/>
  <c r="D229" i="7"/>
  <c r="D216" i="7"/>
  <c r="D215" i="7"/>
  <c r="D214" i="7"/>
  <c r="D213" i="7"/>
  <c r="D198" i="7"/>
  <c r="D197" i="7"/>
  <c r="D196" i="7"/>
  <c r="D191" i="7"/>
  <c r="D188" i="7"/>
  <c r="D176" i="7"/>
  <c r="D174" i="7"/>
  <c r="D159" i="7"/>
  <c r="D99" i="7"/>
  <c r="D98" i="7"/>
  <c r="D79" i="7"/>
  <c r="D59" i="7"/>
  <c r="D54" i="7"/>
  <c r="D53" i="7"/>
  <c r="D52" i="7"/>
  <c r="D51" i="7"/>
  <c r="D38" i="7"/>
  <c r="D24" i="7"/>
  <c r="E528" i="7" l="1"/>
  <c r="F528" i="7"/>
  <c r="G528" i="7"/>
  <c r="H528" i="7"/>
  <c r="I528" i="7"/>
  <c r="J528" i="7"/>
  <c r="K528" i="7"/>
  <c r="L528" i="7"/>
  <c r="M528" i="7"/>
  <c r="N528" i="7"/>
  <c r="O528" i="7"/>
  <c r="P528" i="7"/>
  <c r="Q528" i="7"/>
  <c r="R528" i="7"/>
  <c r="S528" i="7"/>
  <c r="T528" i="7"/>
  <c r="U528" i="7"/>
  <c r="V528" i="7"/>
  <c r="W528" i="7"/>
  <c r="X528" i="7"/>
  <c r="Y528" i="7"/>
  <c r="Z528" i="7"/>
  <c r="AA528" i="7"/>
  <c r="AB528" i="7"/>
  <c r="AD528" i="7"/>
  <c r="AE528" i="7"/>
  <c r="E435" i="7"/>
  <c r="F435" i="7"/>
  <c r="G435" i="7"/>
  <c r="H435" i="7"/>
  <c r="I435" i="7"/>
  <c r="J435" i="7"/>
  <c r="K435" i="7"/>
  <c r="L435" i="7"/>
  <c r="M435" i="7"/>
  <c r="O435" i="7"/>
  <c r="P435" i="7"/>
  <c r="Q435" i="7"/>
  <c r="R435" i="7"/>
  <c r="S435" i="7"/>
  <c r="T435" i="7"/>
  <c r="U435" i="7"/>
  <c r="V435" i="7"/>
  <c r="W435" i="7"/>
  <c r="X435" i="7"/>
  <c r="Y435" i="7"/>
  <c r="Z435" i="7"/>
  <c r="AA435" i="7"/>
  <c r="AB435" i="7"/>
  <c r="AD435" i="7"/>
  <c r="AE435" i="7"/>
  <c r="AC404" i="7" l="1"/>
  <c r="D404" i="7" s="1"/>
  <c r="AC556" i="7" l="1"/>
  <c r="D556" i="7" s="1"/>
  <c r="AC484" i="7"/>
  <c r="AC433" i="7"/>
  <c r="D433" i="7" s="1"/>
  <c r="AC252" i="7"/>
  <c r="D86" i="7"/>
  <c r="AC1143" i="7"/>
  <c r="D1143" i="7" s="1"/>
  <c r="AC1050" i="7"/>
  <c r="D1050" i="7" s="1"/>
  <c r="AC357" i="7"/>
  <c r="D357" i="7" s="1"/>
  <c r="AC347" i="7"/>
  <c r="D347" i="7" s="1"/>
  <c r="AC270" i="7"/>
  <c r="D270" i="7" s="1"/>
  <c r="D189" i="7"/>
  <c r="AC1186" i="7"/>
  <c r="D1186" i="7" s="1"/>
  <c r="AC1185" i="7"/>
  <c r="D1185" i="7" s="1"/>
  <c r="AC1159" i="7"/>
  <c r="D1159" i="7" s="1"/>
  <c r="AC1114" i="7"/>
  <c r="D1114" i="7" s="1"/>
  <c r="AC1112" i="7"/>
  <c r="D1112" i="7" s="1"/>
  <c r="AC1089" i="7"/>
  <c r="D1089" i="7" s="1"/>
  <c r="AC1067" i="7"/>
  <c r="D1067" i="7" s="1"/>
  <c r="AC1048" i="7"/>
  <c r="D1048" i="7" s="1"/>
  <c r="AC1044" i="7"/>
  <c r="D1044" i="7" s="1"/>
  <c r="AC1006" i="7"/>
  <c r="D1006" i="7" s="1"/>
  <c r="D964" i="7"/>
  <c r="AC961" i="7"/>
  <c r="D961" i="7" s="1"/>
  <c r="AC917" i="7"/>
  <c r="D917" i="7" s="1"/>
  <c r="AC847" i="7"/>
  <c r="D847" i="7" s="1"/>
  <c r="AC846" i="7"/>
  <c r="AC358" i="7"/>
  <c r="D358" i="7" s="1"/>
  <c r="AC811" i="7"/>
  <c r="AC775" i="7"/>
  <c r="D775" i="7" s="1"/>
  <c r="AC721" i="7"/>
  <c r="D721" i="7" s="1"/>
  <c r="AC688" i="7"/>
  <c r="D688" i="7" s="1"/>
  <c r="AC683" i="7"/>
  <c r="D683" i="7" s="1"/>
  <c r="D610" i="7"/>
  <c r="D609" i="7"/>
  <c r="D604" i="7"/>
  <c r="AC597" i="7"/>
  <c r="D597" i="7" s="1"/>
  <c r="AC592" i="7"/>
  <c r="D592" i="7" s="1"/>
  <c r="AC518" i="7"/>
  <c r="D518" i="7" s="1"/>
  <c r="AC517" i="7"/>
  <c r="D517" i="7" s="1"/>
  <c r="AC466" i="7"/>
  <c r="D466" i="7" s="1"/>
  <c r="D449" i="7"/>
  <c r="D413" i="7"/>
  <c r="AC412" i="7"/>
  <c r="AC411" i="7" s="1"/>
  <c r="AC386" i="7"/>
  <c r="D386" i="7" s="1"/>
  <c r="AC364" i="7"/>
  <c r="D364" i="7" s="1"/>
  <c r="AC363" i="7"/>
  <c r="D363" i="7" s="1"/>
  <c r="AC362" i="7"/>
  <c r="AC346" i="7"/>
  <c r="D346" i="7" s="1"/>
  <c r="AC345" i="7"/>
  <c r="D345" i="7" s="1"/>
  <c r="AC343" i="7"/>
  <c r="D343" i="7" s="1"/>
  <c r="AC332" i="7"/>
  <c r="D332" i="7" s="1"/>
  <c r="AC331" i="7"/>
  <c r="D331" i="7" s="1"/>
  <c r="AC327" i="7"/>
  <c r="D327" i="7" s="1"/>
  <c r="D307" i="7"/>
  <c r="D306" i="7"/>
  <c r="AC305" i="7"/>
  <c r="AC291" i="7"/>
  <c r="AC267" i="7"/>
  <c r="D267" i="7" s="1"/>
  <c r="AC265" i="7"/>
  <c r="D265" i="7" s="1"/>
  <c r="AC253" i="7"/>
  <c r="D253" i="7" s="1"/>
  <c r="AC246" i="7"/>
  <c r="D246" i="7" s="1"/>
  <c r="AC245" i="7"/>
  <c r="D245" i="7" s="1"/>
  <c r="AC231" i="7"/>
  <c r="D231" i="7" s="1"/>
  <c r="AC230" i="7"/>
  <c r="D230" i="7" s="1"/>
  <c r="AC228" i="7"/>
  <c r="D228" i="7" s="1"/>
  <c r="AC226" i="7"/>
  <c r="D226" i="7" s="1"/>
  <c r="AC222" i="7"/>
  <c r="D222" i="7" s="1"/>
  <c r="AC210" i="7"/>
  <c r="D187" i="7"/>
  <c r="AC158" i="7"/>
  <c r="D158" i="7" s="1"/>
  <c r="AC157" i="7"/>
  <c r="D157" i="7" s="1"/>
  <c r="AC156" i="7"/>
  <c r="D156" i="7" s="1"/>
  <c r="AC154" i="7"/>
  <c r="D154" i="7" s="1"/>
  <c r="AC152" i="7"/>
  <c r="D152" i="7" s="1"/>
  <c r="AC151" i="7"/>
  <c r="D151" i="7" s="1"/>
  <c r="AC148" i="7"/>
  <c r="D148" i="7" s="1"/>
  <c r="D120" i="7"/>
  <c r="D119" i="7"/>
  <c r="D114" i="7"/>
  <c r="D112" i="7"/>
  <c r="D111" i="7"/>
  <c r="D110" i="7"/>
  <c r="D109" i="7"/>
  <c r="D107" i="7"/>
  <c r="AC105" i="7"/>
  <c r="D105" i="7" s="1"/>
  <c r="D93" i="7"/>
  <c r="D91" i="7"/>
  <c r="D90" i="7"/>
  <c r="D85" i="7"/>
  <c r="D81" i="7"/>
  <c r="D80" i="7"/>
  <c r="AC58" i="7"/>
  <c r="D58" i="7" s="1"/>
  <c r="AC57" i="7"/>
  <c r="D57" i="7" s="1"/>
  <c r="AC43" i="7"/>
  <c r="D43" i="7" s="1"/>
  <c r="AC35" i="7"/>
  <c r="D35" i="7" s="1"/>
  <c r="AC27" i="7"/>
  <c r="D27" i="7" s="1"/>
  <c r="AC1060" i="7"/>
  <c r="D1060" i="7" s="1"/>
  <c r="D811" i="7" l="1"/>
  <c r="D846" i="7"/>
  <c r="AC845" i="7"/>
  <c r="D809" i="7"/>
  <c r="D808" i="7" s="1"/>
  <c r="D305" i="7"/>
  <c r="AC304" i="7"/>
  <c r="D362" i="7"/>
  <c r="D361" i="7" s="1"/>
  <c r="AC361" i="7"/>
  <c r="D412" i="7"/>
  <c r="D484" i="7"/>
  <c r="D210" i="7"/>
  <c r="D252" i="7"/>
  <c r="D291" i="7"/>
  <c r="D417" i="7"/>
  <c r="D416" i="7" s="1"/>
  <c r="CD416" i="7" s="1"/>
  <c r="AC1170" i="7"/>
  <c r="D1170" i="7" s="1"/>
  <c r="D309" i="7"/>
  <c r="D190" i="7"/>
  <c r="D115" i="7"/>
  <c r="AC1198" i="7"/>
  <c r="D1198" i="7" s="1"/>
  <c r="D100" i="7"/>
  <c r="AC288" i="7"/>
  <c r="AC377" i="7"/>
  <c r="AC376" i="7" s="1"/>
  <c r="AC398" i="7"/>
  <c r="AC397" i="7" s="1"/>
  <c r="AC1190" i="7"/>
  <c r="D1190" i="7" s="1"/>
  <c r="AC1196" i="7"/>
  <c r="D1196" i="7" s="1"/>
  <c r="AC1195" i="7"/>
  <c r="D1195" i="7" s="1"/>
  <c r="AC1194" i="7"/>
  <c r="D1194" i="7" s="1"/>
  <c r="AC1192" i="7"/>
  <c r="D1192" i="7" s="1"/>
  <c r="AC1188" i="7"/>
  <c r="D1188" i="7" s="1"/>
  <c r="AC1184" i="7"/>
  <c r="D1184" i="7" s="1"/>
  <c r="AC1182" i="7"/>
  <c r="D1182" i="7" s="1"/>
  <c r="AC1181" i="7"/>
  <c r="D1181" i="7" s="1"/>
  <c r="AC1179" i="7"/>
  <c r="D1179" i="7" s="1"/>
  <c r="AC1177" i="7"/>
  <c r="D1177" i="7" s="1"/>
  <c r="AC1175" i="7"/>
  <c r="D1175" i="7" s="1"/>
  <c r="AC1174" i="7"/>
  <c r="D1174" i="7" s="1"/>
  <c r="AC1172" i="7"/>
  <c r="D1172" i="7" s="1"/>
  <c r="AC1171" i="7"/>
  <c r="D1171" i="7" s="1"/>
  <c r="AC1167" i="7"/>
  <c r="D1167" i="7" s="1"/>
  <c r="AC1166" i="7"/>
  <c r="D1166" i="7" s="1"/>
  <c r="AC1165" i="7"/>
  <c r="D1165" i="7" s="1"/>
  <c r="AC1163" i="7"/>
  <c r="D1163" i="7" s="1"/>
  <c r="AC1162" i="7"/>
  <c r="D1162" i="7" s="1"/>
  <c r="AC1160" i="7"/>
  <c r="D1160" i="7" s="1"/>
  <c r="AC1157" i="7"/>
  <c r="D1157" i="7" s="1"/>
  <c r="AC1155" i="7"/>
  <c r="D1155" i="7" s="1"/>
  <c r="AC441" i="7"/>
  <c r="D441" i="7" s="1"/>
  <c r="AC1151" i="7"/>
  <c r="D1151" i="7" s="1"/>
  <c r="AC1150" i="7"/>
  <c r="D1150" i="7" s="1"/>
  <c r="AC1149" i="7"/>
  <c r="D1149" i="7" s="1"/>
  <c r="AC1147" i="7"/>
  <c r="D1147" i="7" s="1"/>
  <c r="AC1145" i="7"/>
  <c r="D1145" i="7" s="1"/>
  <c r="AC1140" i="7"/>
  <c r="D1140" i="7" s="1"/>
  <c r="AC1139" i="7"/>
  <c r="D1139" i="7" s="1"/>
  <c r="AC1137" i="7"/>
  <c r="D1137" i="7" s="1"/>
  <c r="AC1135" i="7"/>
  <c r="D1135" i="7" s="1"/>
  <c r="AC1133" i="7"/>
  <c r="D1133" i="7" s="1"/>
  <c r="AC1131" i="7"/>
  <c r="D1131" i="7" s="1"/>
  <c r="AC1129" i="7"/>
  <c r="D1129" i="7" s="1"/>
  <c r="AC1127" i="7"/>
  <c r="D1127" i="7" s="1"/>
  <c r="AC1125" i="7"/>
  <c r="D1125" i="7" s="1"/>
  <c r="AC1124" i="7"/>
  <c r="D1124" i="7" s="1"/>
  <c r="AC1123" i="7"/>
  <c r="D1123" i="7" s="1"/>
  <c r="AC1121" i="7"/>
  <c r="D1121" i="7" s="1"/>
  <c r="AC1119" i="7"/>
  <c r="D1119" i="7" s="1"/>
  <c r="AC1118" i="7"/>
  <c r="D1118" i="7" s="1"/>
  <c r="AC1116" i="7"/>
  <c r="D1116" i="7" s="1"/>
  <c r="AC1115" i="7"/>
  <c r="D1115" i="7" s="1"/>
  <c r="AC1111" i="7"/>
  <c r="D1111" i="7" s="1"/>
  <c r="AC1108" i="7"/>
  <c r="D1108" i="7" s="1"/>
  <c r="AC1107" i="7"/>
  <c r="D1107" i="7" s="1"/>
  <c r="AC1106" i="7"/>
  <c r="D1106" i="7" s="1"/>
  <c r="AC1105" i="7"/>
  <c r="D1105" i="7" s="1"/>
  <c r="AC1104" i="7"/>
  <c r="AC1102" i="7"/>
  <c r="D1102" i="7" s="1"/>
  <c r="AC1100" i="7"/>
  <c r="D1100" i="7" s="1"/>
  <c r="AC1098" i="7"/>
  <c r="D1098" i="7" s="1"/>
  <c r="AC1096" i="7"/>
  <c r="D1096" i="7" s="1"/>
  <c r="AC1095" i="7"/>
  <c r="D1095" i="7" s="1"/>
  <c r="AC1093" i="7"/>
  <c r="D1093" i="7" s="1"/>
  <c r="AC1091" i="7"/>
  <c r="D1091" i="7" s="1"/>
  <c r="AC1087" i="7"/>
  <c r="D1087" i="7" s="1"/>
  <c r="AC1085" i="7"/>
  <c r="D1085" i="7" s="1"/>
  <c r="AC1084" i="7"/>
  <c r="D1084" i="7" s="1"/>
  <c r="AC1081" i="7"/>
  <c r="D1081" i="7" s="1"/>
  <c r="AC1080" i="7"/>
  <c r="D1080" i="7" s="1"/>
  <c r="AC1078" i="7"/>
  <c r="D1078" i="7" s="1"/>
  <c r="AC1077" i="7"/>
  <c r="D1077" i="7" s="1"/>
  <c r="AC1076" i="7"/>
  <c r="D1076" i="7" s="1"/>
  <c r="AC1072" i="7"/>
  <c r="D1072" i="7" s="1"/>
  <c r="AC1069" i="7"/>
  <c r="D1069" i="7" s="1"/>
  <c r="AC1065" i="7"/>
  <c r="D1065" i="7" s="1"/>
  <c r="AC800" i="7"/>
  <c r="D800" i="7" s="1"/>
  <c r="AC1062" i="7"/>
  <c r="AC1057" i="7"/>
  <c r="D1057" i="7" s="1"/>
  <c r="AC1056" i="7"/>
  <c r="D1056" i="7" s="1"/>
  <c r="AC1055" i="7"/>
  <c r="D1055" i="7" s="1"/>
  <c r="AC1053" i="7"/>
  <c r="D1053" i="7" s="1"/>
  <c r="AC1052" i="7"/>
  <c r="D1052" i="7" s="1"/>
  <c r="AC1051" i="7"/>
  <c r="D1051" i="7" s="1"/>
  <c r="AC1049" i="7"/>
  <c r="D1049" i="7" s="1"/>
  <c r="AC1047" i="7"/>
  <c r="D1047" i="7" s="1"/>
  <c r="AC1046" i="7"/>
  <c r="D1040" i="7"/>
  <c r="AC1037" i="7"/>
  <c r="D1037" i="7" s="1"/>
  <c r="AC1036" i="7"/>
  <c r="D1036" i="7" s="1"/>
  <c r="AC1035" i="7"/>
  <c r="D1035" i="7" s="1"/>
  <c r="AC1033" i="7"/>
  <c r="D1033" i="7" s="1"/>
  <c r="AC1032" i="7"/>
  <c r="D1032" i="7" s="1"/>
  <c r="AC1031" i="7"/>
  <c r="AC1028" i="7"/>
  <c r="D1028" i="7" s="1"/>
  <c r="AC1027" i="7"/>
  <c r="D1027" i="7" s="1"/>
  <c r="AC1026" i="7"/>
  <c r="D1026" i="7" s="1"/>
  <c r="AC1024" i="7"/>
  <c r="D1024" i="7" s="1"/>
  <c r="AC1023" i="7"/>
  <c r="D1023" i="7" s="1"/>
  <c r="AC1022" i="7"/>
  <c r="D1022" i="7" s="1"/>
  <c r="AC1021" i="7"/>
  <c r="D1021" i="7" s="1"/>
  <c r="AC1020" i="7"/>
  <c r="D1020" i="7" s="1"/>
  <c r="AC1019" i="7"/>
  <c r="D1019" i="7" s="1"/>
  <c r="AC1018" i="7"/>
  <c r="D1018" i="7" s="1"/>
  <c r="AC1017" i="7"/>
  <c r="D1017" i="7" s="1"/>
  <c r="AC1015" i="7"/>
  <c r="D1015" i="7" s="1"/>
  <c r="AC1011" i="7"/>
  <c r="D1011" i="7" s="1"/>
  <c r="AC1010" i="7"/>
  <c r="D1010" i="7" s="1"/>
  <c r="AC1009" i="7"/>
  <c r="D1009" i="7" s="1"/>
  <c r="AC1008" i="7"/>
  <c r="D1008" i="7" s="1"/>
  <c r="AC1005" i="7"/>
  <c r="D1005" i="7" s="1"/>
  <c r="AC1004" i="7"/>
  <c r="D1004" i="7" s="1"/>
  <c r="AC1003" i="7"/>
  <c r="AC1000" i="7"/>
  <c r="D1000" i="7" s="1"/>
  <c r="AC999" i="7"/>
  <c r="D999" i="7" s="1"/>
  <c r="AC998" i="7"/>
  <c r="D998" i="7" s="1"/>
  <c r="AC997" i="7"/>
  <c r="AC996" i="7"/>
  <c r="D996" i="7" s="1"/>
  <c r="AC995" i="7"/>
  <c r="D995" i="7" s="1"/>
  <c r="AC994" i="7"/>
  <c r="D994" i="7" s="1"/>
  <c r="AC992" i="7"/>
  <c r="D992" i="7" s="1"/>
  <c r="AC991" i="7"/>
  <c r="D991" i="7" s="1"/>
  <c r="AC990" i="7"/>
  <c r="D990" i="7" s="1"/>
  <c r="AC989" i="7"/>
  <c r="D989" i="7" s="1"/>
  <c r="AC988" i="7"/>
  <c r="AC984" i="7"/>
  <c r="D984" i="7" s="1"/>
  <c r="AC983" i="7"/>
  <c r="D983" i="7" s="1"/>
  <c r="AC982" i="7"/>
  <c r="D982" i="7" s="1"/>
  <c r="AC981" i="7"/>
  <c r="D981" i="7" s="1"/>
  <c r="AC980" i="7"/>
  <c r="D980" i="7" s="1"/>
  <c r="AC979" i="7"/>
  <c r="D979" i="7" s="1"/>
  <c r="AC976" i="7"/>
  <c r="D976" i="7" s="1"/>
  <c r="AC975" i="7"/>
  <c r="D975" i="7" s="1"/>
  <c r="AC974" i="7"/>
  <c r="D974" i="7" s="1"/>
  <c r="AC973" i="7"/>
  <c r="D973" i="7" s="1"/>
  <c r="AC972" i="7"/>
  <c r="D972" i="7" s="1"/>
  <c r="AC971" i="7"/>
  <c r="D971" i="7" s="1"/>
  <c r="AC970" i="7"/>
  <c r="D970" i="7" s="1"/>
  <c r="AC969" i="7"/>
  <c r="D969" i="7" s="1"/>
  <c r="AC968" i="7"/>
  <c r="D968" i="7" s="1"/>
  <c r="AC967" i="7"/>
  <c r="D967" i="7" s="1"/>
  <c r="AC966" i="7"/>
  <c r="D966" i="7" s="1"/>
  <c r="AC965" i="7"/>
  <c r="D965" i="7" s="1"/>
  <c r="AC963" i="7"/>
  <c r="D963" i="7" s="1"/>
  <c r="AC962" i="7"/>
  <c r="D962" i="7" s="1"/>
  <c r="AC960" i="7"/>
  <c r="D960" i="7" s="1"/>
  <c r="AC959" i="7"/>
  <c r="D959" i="7" s="1"/>
  <c r="AC958" i="7"/>
  <c r="D958" i="7" s="1"/>
  <c r="AC957" i="7"/>
  <c r="D957" i="7" s="1"/>
  <c r="AC956" i="7"/>
  <c r="D956" i="7" s="1"/>
  <c r="AC955" i="7"/>
  <c r="D955" i="7" s="1"/>
  <c r="AC954" i="7"/>
  <c r="D954" i="7" s="1"/>
  <c r="AC952" i="7"/>
  <c r="D952" i="7" s="1"/>
  <c r="AC951" i="7"/>
  <c r="D951" i="7" s="1"/>
  <c r="AC950" i="7"/>
  <c r="D950" i="7" s="1"/>
  <c r="AC949" i="7"/>
  <c r="D949" i="7" s="1"/>
  <c r="AC948" i="7"/>
  <c r="D948" i="7" s="1"/>
  <c r="AC947" i="7"/>
  <c r="D947" i="7" s="1"/>
  <c r="AC946" i="7"/>
  <c r="D946" i="7" s="1"/>
  <c r="AC945" i="7"/>
  <c r="D945" i="7" s="1"/>
  <c r="AC944" i="7"/>
  <c r="D944" i="7" s="1"/>
  <c r="AC943" i="7"/>
  <c r="D943" i="7" s="1"/>
  <c r="AC942" i="7"/>
  <c r="D942" i="7" s="1"/>
  <c r="AC941" i="7"/>
  <c r="D941" i="7" s="1"/>
  <c r="AC940" i="7"/>
  <c r="D940" i="7" s="1"/>
  <c r="AC939" i="7"/>
  <c r="D939" i="7" s="1"/>
  <c r="AC938" i="7"/>
  <c r="D938" i="7" s="1"/>
  <c r="AC937" i="7"/>
  <c r="D937" i="7" s="1"/>
  <c r="AC936" i="7"/>
  <c r="D936" i="7" s="1"/>
  <c r="AC935" i="7"/>
  <c r="D935" i="7" s="1"/>
  <c r="AC934" i="7"/>
  <c r="D934" i="7" s="1"/>
  <c r="AC933" i="7"/>
  <c r="D933" i="7" s="1"/>
  <c r="AC932" i="7"/>
  <c r="D932" i="7" s="1"/>
  <c r="AC931" i="7"/>
  <c r="D931" i="7" s="1"/>
  <c r="AC930" i="7"/>
  <c r="D930" i="7" s="1"/>
  <c r="AC929" i="7"/>
  <c r="AC926" i="7"/>
  <c r="AC924" i="7"/>
  <c r="AC922" i="7"/>
  <c r="D922" i="7" s="1"/>
  <c r="AC921" i="7"/>
  <c r="AC919" i="7"/>
  <c r="AC915" i="7"/>
  <c r="AC913" i="7"/>
  <c r="AC911" i="7"/>
  <c r="AC909" i="7"/>
  <c r="AC907" i="7"/>
  <c r="D907" i="7" s="1"/>
  <c r="AC906" i="7"/>
  <c r="AC903" i="7"/>
  <c r="D903" i="7" s="1"/>
  <c r="AC902" i="7"/>
  <c r="AC900" i="7"/>
  <c r="AC899" i="7" s="1"/>
  <c r="AC500" i="7"/>
  <c r="D500" i="7" s="1"/>
  <c r="AC499" i="7"/>
  <c r="D499" i="7" s="1"/>
  <c r="AC898" i="7"/>
  <c r="AC896" i="7"/>
  <c r="AC894" i="7"/>
  <c r="D892" i="7"/>
  <c r="AC890" i="7"/>
  <c r="D890" i="7" s="1"/>
  <c r="AC889" i="7"/>
  <c r="AC887" i="7"/>
  <c r="D887" i="7" s="1"/>
  <c r="AC886" i="7"/>
  <c r="D886" i="7" s="1"/>
  <c r="AC885" i="7"/>
  <c r="D885" i="7" s="1"/>
  <c r="AC884" i="7"/>
  <c r="D884" i="7" s="1"/>
  <c r="AC883" i="7"/>
  <c r="AC881" i="7"/>
  <c r="AC879" i="7"/>
  <c r="AC876" i="7"/>
  <c r="D876" i="7" s="1"/>
  <c r="AC873" i="7"/>
  <c r="AC871" i="7"/>
  <c r="AC869" i="7"/>
  <c r="AC867" i="7"/>
  <c r="AC865" i="7"/>
  <c r="AC863" i="7"/>
  <c r="AC861" i="7"/>
  <c r="AC859" i="7"/>
  <c r="D859" i="7" s="1"/>
  <c r="AC858" i="7"/>
  <c r="AC856" i="7"/>
  <c r="D856" i="7" s="1"/>
  <c r="AC855" i="7"/>
  <c r="D855" i="7" s="1"/>
  <c r="AC854" i="7"/>
  <c r="D854" i="7" s="1"/>
  <c r="AC853" i="7"/>
  <c r="AC851" i="7"/>
  <c r="AC849" i="7"/>
  <c r="AC844" i="7"/>
  <c r="AC842" i="7"/>
  <c r="D842" i="7" s="1"/>
  <c r="AC841" i="7"/>
  <c r="D841" i="7" s="1"/>
  <c r="AC840" i="7"/>
  <c r="D840" i="7" s="1"/>
  <c r="AC839" i="7"/>
  <c r="D839" i="7" s="1"/>
  <c r="AC838" i="7"/>
  <c r="D838" i="7" s="1"/>
  <c r="AC837" i="7"/>
  <c r="D837" i="7" s="1"/>
  <c r="AC836" i="7"/>
  <c r="D836" i="7" s="1"/>
  <c r="AC835" i="7"/>
  <c r="AC833" i="7"/>
  <c r="AC831" i="7"/>
  <c r="AC829" i="7"/>
  <c r="AC827" i="7"/>
  <c r="AC825" i="7"/>
  <c r="AC823" i="7"/>
  <c r="AC819" i="7"/>
  <c r="D819" i="7" s="1"/>
  <c r="AC818" i="7"/>
  <c r="AC816" i="7"/>
  <c r="D816" i="7" s="1"/>
  <c r="AC815" i="7"/>
  <c r="D815" i="7" s="1"/>
  <c r="AC814" i="7"/>
  <c r="D814" i="7" s="1"/>
  <c r="AC813" i="7"/>
  <c r="D813" i="7" s="1"/>
  <c r="AC812" i="7"/>
  <c r="D812" i="7" s="1"/>
  <c r="AC807" i="7"/>
  <c r="AC804" i="7"/>
  <c r="AC802" i="7"/>
  <c r="AC799" i="7"/>
  <c r="AC798" i="7" s="1"/>
  <c r="AC1063" i="7"/>
  <c r="D1063" i="7" s="1"/>
  <c r="AC797" i="7"/>
  <c r="D797" i="7" s="1"/>
  <c r="AC796" i="7"/>
  <c r="D796" i="7" s="1"/>
  <c r="AC795" i="7"/>
  <c r="D795" i="7" s="1"/>
  <c r="AC794" i="7"/>
  <c r="AC792" i="7"/>
  <c r="D792" i="7" s="1"/>
  <c r="AC791" i="7"/>
  <c r="AC788" i="7"/>
  <c r="D788" i="7" s="1"/>
  <c r="AC787" i="7"/>
  <c r="D787" i="7" s="1"/>
  <c r="AC785" i="7"/>
  <c r="D785" i="7" s="1"/>
  <c r="AC784" i="7"/>
  <c r="D784" i="7" s="1"/>
  <c r="AC783" i="7"/>
  <c r="D783" i="7" s="1"/>
  <c r="AC782" i="7"/>
  <c r="D782" i="7" s="1"/>
  <c r="AC781" i="7"/>
  <c r="D781" i="7" s="1"/>
  <c r="AC780" i="7"/>
  <c r="D780" i="7" s="1"/>
  <c r="AC779" i="7"/>
  <c r="D779" i="7" s="1"/>
  <c r="AC778" i="7"/>
  <c r="D778" i="7" s="1"/>
  <c r="AC777" i="7"/>
  <c r="AC755" i="7"/>
  <c r="D755" i="7" s="1"/>
  <c r="AC752" i="7"/>
  <c r="AC723" i="7"/>
  <c r="D723" i="7" s="1"/>
  <c r="AC722" i="7"/>
  <c r="D722" i="7" s="1"/>
  <c r="AC719" i="7"/>
  <c r="D719" i="7" s="1"/>
  <c r="AC718" i="7"/>
  <c r="D718" i="7" s="1"/>
  <c r="AC717" i="7"/>
  <c r="D717" i="7" s="1"/>
  <c r="AC716" i="7"/>
  <c r="D716" i="7" s="1"/>
  <c r="AC715" i="7"/>
  <c r="D715" i="7" s="1"/>
  <c r="AC714" i="7"/>
  <c r="D714" i="7" s="1"/>
  <c r="AC713" i="7"/>
  <c r="D713" i="7" s="1"/>
  <c r="AC712" i="7"/>
  <c r="D712" i="7" s="1"/>
  <c r="AC711" i="7"/>
  <c r="D711" i="7" s="1"/>
  <c r="AC710" i="7"/>
  <c r="D710" i="7" s="1"/>
  <c r="AC709" i="7"/>
  <c r="D709" i="7" s="1"/>
  <c r="AC708" i="7"/>
  <c r="D708" i="7" s="1"/>
  <c r="AC707" i="7"/>
  <c r="D707" i="7" s="1"/>
  <c r="AC706" i="7"/>
  <c r="D706" i="7" s="1"/>
  <c r="AC705" i="7"/>
  <c r="D705" i="7" s="1"/>
  <c r="AC701" i="7"/>
  <c r="D701" i="7" s="1"/>
  <c r="AC700" i="7"/>
  <c r="D700" i="7" s="1"/>
  <c r="AC699" i="7"/>
  <c r="D699" i="7" s="1"/>
  <c r="AC698" i="7"/>
  <c r="D698" i="7" s="1"/>
  <c r="AC696" i="7"/>
  <c r="AC690" i="7"/>
  <c r="D690" i="7" s="1"/>
  <c r="AC694" i="7"/>
  <c r="D694" i="7" s="1"/>
  <c r="AC693" i="7"/>
  <c r="D693" i="7" s="1"/>
  <c r="AC687" i="7"/>
  <c r="D687" i="7" s="1"/>
  <c r="AC686" i="7"/>
  <c r="D686" i="7" s="1"/>
  <c r="AC685" i="7"/>
  <c r="D685" i="7" s="1"/>
  <c r="AC684" i="7"/>
  <c r="D684" i="7" s="1"/>
  <c r="AC682" i="7"/>
  <c r="D682" i="7" s="1"/>
  <c r="AC681" i="7"/>
  <c r="AC616" i="7"/>
  <c r="D616" i="7" s="1"/>
  <c r="AC615" i="7"/>
  <c r="D615" i="7" s="1"/>
  <c r="AC614" i="7"/>
  <c r="D614" i="7" s="1"/>
  <c r="AC613" i="7"/>
  <c r="D613" i="7" s="1"/>
  <c r="AC612" i="7"/>
  <c r="D612" i="7" s="1"/>
  <c r="AC611" i="7"/>
  <c r="D611" i="7" s="1"/>
  <c r="AC608" i="7"/>
  <c r="D608" i="7" s="1"/>
  <c r="AC607" i="7"/>
  <c r="D607" i="7" s="1"/>
  <c r="AC606" i="7"/>
  <c r="D606" i="7" s="1"/>
  <c r="AC605" i="7"/>
  <c r="D605" i="7" s="1"/>
  <c r="AC603" i="7"/>
  <c r="D603" i="7" s="1"/>
  <c r="AC602" i="7"/>
  <c r="D602" i="7" s="1"/>
  <c r="AC601" i="7"/>
  <c r="D601" i="7" s="1"/>
  <c r="AC599" i="7"/>
  <c r="D599" i="7" s="1"/>
  <c r="AC598" i="7"/>
  <c r="D598" i="7" s="1"/>
  <c r="AC596" i="7"/>
  <c r="D596" i="7" s="1"/>
  <c r="AC595" i="7"/>
  <c r="D595" i="7" s="1"/>
  <c r="AC594" i="7"/>
  <c r="D594" i="7" s="1"/>
  <c r="AC593" i="7"/>
  <c r="D593" i="7" s="1"/>
  <c r="AC591" i="7"/>
  <c r="D591" i="7" s="1"/>
  <c r="AC590" i="7"/>
  <c r="D590" i="7" s="1"/>
  <c r="AC587" i="7"/>
  <c r="D587" i="7" s="1"/>
  <c r="AC586" i="7"/>
  <c r="D586" i="7" s="1"/>
  <c r="AC585" i="7"/>
  <c r="D585" i="7" s="1"/>
  <c r="AC584" i="7"/>
  <c r="D584" i="7" s="1"/>
  <c r="AC583" i="7"/>
  <c r="D583" i="7" s="1"/>
  <c r="AC582" i="7"/>
  <c r="D582" i="7" s="1"/>
  <c r="AC581" i="7"/>
  <c r="D581" i="7" s="1"/>
  <c r="AC580" i="7"/>
  <c r="D580" i="7" s="1"/>
  <c r="AC579" i="7"/>
  <c r="D579" i="7" s="1"/>
  <c r="AC578" i="7"/>
  <c r="D578" i="7" s="1"/>
  <c r="AC577" i="7"/>
  <c r="D577" i="7" s="1"/>
  <c r="AC576" i="7"/>
  <c r="D576" i="7" s="1"/>
  <c r="AC574" i="7"/>
  <c r="D574" i="7" s="1"/>
  <c r="AC573" i="7"/>
  <c r="D573" i="7" s="1"/>
  <c r="AC570" i="7"/>
  <c r="D570" i="7" s="1"/>
  <c r="AC569" i="7"/>
  <c r="D569" i="7" s="1"/>
  <c r="AC568" i="7"/>
  <c r="D568" i="7" s="1"/>
  <c r="AC567" i="7"/>
  <c r="AC564" i="7"/>
  <c r="D564" i="7" s="1"/>
  <c r="AC555" i="7"/>
  <c r="D555" i="7" s="1"/>
  <c r="AC545" i="7"/>
  <c r="AC543" i="7"/>
  <c r="D543" i="7" s="1"/>
  <c r="AC538" i="7"/>
  <c r="D538" i="7" s="1"/>
  <c r="AC534" i="7"/>
  <c r="D534" i="7" s="1"/>
  <c r="AC533" i="7"/>
  <c r="D533" i="7" s="1"/>
  <c r="AC531" i="7"/>
  <c r="AC527" i="7"/>
  <c r="D527" i="7" s="1"/>
  <c r="AC525" i="7"/>
  <c r="D525" i="7" s="1"/>
  <c r="AC523" i="7"/>
  <c r="D523" i="7" s="1"/>
  <c r="AC521" i="7"/>
  <c r="D521" i="7" s="1"/>
  <c r="AC519" i="7"/>
  <c r="D519" i="7" s="1"/>
  <c r="AC515" i="7"/>
  <c r="AC511" i="7"/>
  <c r="AC507" i="7"/>
  <c r="D507" i="7" s="1"/>
  <c r="AC506" i="7"/>
  <c r="D506" i="7" s="1"/>
  <c r="AC505" i="7"/>
  <c r="D505" i="7" s="1"/>
  <c r="AC504" i="7"/>
  <c r="D504" i="7" s="1"/>
  <c r="AC503" i="7"/>
  <c r="D503" i="7" s="1"/>
  <c r="AC502" i="7"/>
  <c r="AC492" i="7"/>
  <c r="D492" i="7" s="1"/>
  <c r="AC491" i="7"/>
  <c r="AC490" i="7"/>
  <c r="AC487" i="7"/>
  <c r="D487" i="7" s="1"/>
  <c r="AC482" i="7"/>
  <c r="AC480" i="7"/>
  <c r="AC476" i="7"/>
  <c r="AC474" i="7"/>
  <c r="AC473" i="7" s="1"/>
  <c r="AC470" i="7"/>
  <c r="AC469" i="7" s="1"/>
  <c r="AC468" i="7"/>
  <c r="D468" i="7" s="1"/>
  <c r="AC467" i="7"/>
  <c r="D467" i="7" s="1"/>
  <c r="AC465" i="7"/>
  <c r="D465" i="7" s="1"/>
  <c r="AC464" i="7"/>
  <c r="D464" i="7" s="1"/>
  <c r="AC463" i="7"/>
  <c r="D463" i="7" s="1"/>
  <c r="AC462" i="7"/>
  <c r="D462" i="7" s="1"/>
  <c r="AC461" i="7"/>
  <c r="D461" i="7" s="1"/>
  <c r="AC460" i="7"/>
  <c r="AC457" i="7"/>
  <c r="AC456" i="7" s="1"/>
  <c r="AC455" i="7"/>
  <c r="D455" i="7" s="1"/>
  <c r="AC453" i="7"/>
  <c r="D453" i="7" s="1"/>
  <c r="AC452" i="7"/>
  <c r="D452" i="7" s="1"/>
  <c r="AC451" i="7"/>
  <c r="AC444" i="7"/>
  <c r="D444" i="7" s="1"/>
  <c r="AC443" i="7"/>
  <c r="AC442" i="7" s="1"/>
  <c r="AC438" i="7"/>
  <c r="AC434" i="7"/>
  <c r="D434" i="7" s="1"/>
  <c r="AC432" i="7"/>
  <c r="D432" i="7" s="1"/>
  <c r="AC431" i="7"/>
  <c r="D431" i="7" s="1"/>
  <c r="AC426" i="7"/>
  <c r="AC425" i="7" s="1"/>
  <c r="AC424" i="7"/>
  <c r="D424" i="7" s="1"/>
  <c r="AC423" i="7"/>
  <c r="D423" i="7" s="1"/>
  <c r="AC421" i="7"/>
  <c r="D421" i="7" s="1"/>
  <c r="AC420" i="7"/>
  <c r="D420" i="7" s="1"/>
  <c r="AC419" i="7"/>
  <c r="AC410" i="7"/>
  <c r="AC409" i="7" s="1"/>
  <c r="AC407" i="7"/>
  <c r="AC400" i="7"/>
  <c r="AC399" i="7" s="1"/>
  <c r="AC395" i="7"/>
  <c r="AC394" i="7" s="1"/>
  <c r="AC391" i="7"/>
  <c r="D391" i="7" s="1"/>
  <c r="AC389" i="7"/>
  <c r="D389" i="7" s="1"/>
  <c r="AC388" i="7"/>
  <c r="D388" i="7" s="1"/>
  <c r="AC387" i="7"/>
  <c r="D387" i="7" s="1"/>
  <c r="AC384" i="7"/>
  <c r="D384" i="7" s="1"/>
  <c r="AC381" i="7"/>
  <c r="D381" i="7" s="1"/>
  <c r="AC380" i="7"/>
  <c r="D380" i="7" s="1"/>
  <c r="AC379" i="7"/>
  <c r="AC373" i="7"/>
  <c r="AC369" i="7"/>
  <c r="AC366" i="7"/>
  <c r="AC348" i="7"/>
  <c r="D348" i="7" s="1"/>
  <c r="AC342" i="7"/>
  <c r="D342" i="7" s="1"/>
  <c r="AC341" i="7"/>
  <c r="D341" i="7" s="1"/>
  <c r="AC340" i="7"/>
  <c r="D340" i="7" s="1"/>
  <c r="AC339" i="7"/>
  <c r="AC337" i="7"/>
  <c r="AC333" i="7"/>
  <c r="D333" i="7" s="1"/>
  <c r="AC329" i="7"/>
  <c r="D329" i="7" s="1"/>
  <c r="AC328" i="7"/>
  <c r="D328" i="7" s="1"/>
  <c r="AC326" i="7"/>
  <c r="D326" i="7" s="1"/>
  <c r="AC320" i="7"/>
  <c r="D320" i="7" s="1"/>
  <c r="AC319" i="7"/>
  <c r="AC317" i="7"/>
  <c r="AC316" i="7" s="1"/>
  <c r="AC311" i="7"/>
  <c r="AC303" i="7"/>
  <c r="D303" i="7" s="1"/>
  <c r="AC302" i="7"/>
  <c r="AC297" i="7"/>
  <c r="D297" i="7" s="1"/>
  <c r="AC295" i="7"/>
  <c r="AC290" i="7"/>
  <c r="D290" i="7" s="1"/>
  <c r="AC289" i="7"/>
  <c r="D289" i="7" s="1"/>
  <c r="AC286" i="7"/>
  <c r="D286" i="7" s="1"/>
  <c r="AC285" i="7"/>
  <c r="D285" i="7" s="1"/>
  <c r="AC284" i="7"/>
  <c r="D284" i="7" s="1"/>
  <c r="AC282" i="7"/>
  <c r="D282" i="7" s="1"/>
  <c r="AC281" i="7"/>
  <c r="D281" i="7" s="1"/>
  <c r="AC280" i="7"/>
  <c r="AC275" i="7"/>
  <c r="D275" i="7" s="1"/>
  <c r="AC274" i="7"/>
  <c r="D274" i="7" s="1"/>
  <c r="AC272" i="7"/>
  <c r="D272" i="7" s="1"/>
  <c r="AC271" i="7"/>
  <c r="D271" i="7" s="1"/>
  <c r="AC269" i="7"/>
  <c r="D269" i="7" s="1"/>
  <c r="AC298" i="7"/>
  <c r="D298" i="7" s="1"/>
  <c r="AC292" i="7"/>
  <c r="D292" i="7" s="1"/>
  <c r="AC266" i="7"/>
  <c r="D266" i="7" s="1"/>
  <c r="AC264" i="7"/>
  <c r="D264" i="7" s="1"/>
  <c r="AC263" i="7"/>
  <c r="D263" i="7" s="1"/>
  <c r="AC262" i="7"/>
  <c r="D262" i="7" s="1"/>
  <c r="AC244" i="7"/>
  <c r="AC227" i="7"/>
  <c r="D227" i="7" s="1"/>
  <c r="AC224" i="7"/>
  <c r="D224" i="7" s="1"/>
  <c r="AC220" i="7"/>
  <c r="D220" i="7" s="1"/>
  <c r="AC219" i="7"/>
  <c r="D219" i="7" s="1"/>
  <c r="AC218" i="7"/>
  <c r="D218" i="7" s="1"/>
  <c r="AC212" i="7"/>
  <c r="AC211" i="7"/>
  <c r="D186" i="7"/>
  <c r="D184" i="7"/>
  <c r="D183" i="7"/>
  <c r="D182" i="7"/>
  <c r="D180" i="7"/>
  <c r="D179" i="7"/>
  <c r="D178" i="7"/>
  <c r="D177" i="7"/>
  <c r="D175" i="7"/>
  <c r="D173" i="7"/>
  <c r="D172" i="7"/>
  <c r="D171" i="7"/>
  <c r="AC163" i="7"/>
  <c r="D163" i="7" s="1"/>
  <c r="AC147" i="7"/>
  <c r="D147" i="7" s="1"/>
  <c r="AC146" i="7"/>
  <c r="D146" i="7" s="1"/>
  <c r="AC145" i="7"/>
  <c r="D145" i="7" s="1"/>
  <c r="AC144" i="7"/>
  <c r="D144" i="7" s="1"/>
  <c r="AC143" i="7"/>
  <c r="D143" i="7" s="1"/>
  <c r="AC142" i="7"/>
  <c r="D142" i="7" s="1"/>
  <c r="AC141" i="7"/>
  <c r="D141" i="7" s="1"/>
  <c r="AC140" i="7"/>
  <c r="D140" i="7" s="1"/>
  <c r="AC139" i="7"/>
  <c r="D139" i="7" s="1"/>
  <c r="AC138" i="7"/>
  <c r="D138" i="7" s="1"/>
  <c r="AC137" i="7"/>
  <c r="D137" i="7" s="1"/>
  <c r="AC136" i="7"/>
  <c r="D118" i="7"/>
  <c r="D117" i="7"/>
  <c r="D116" i="7"/>
  <c r="D113" i="7"/>
  <c r="D108" i="7"/>
  <c r="D106" i="7"/>
  <c r="D104" i="7"/>
  <c r="D103" i="7"/>
  <c r="D97" i="7"/>
  <c r="D96" i="7"/>
  <c r="D95" i="7"/>
  <c r="D94" i="7"/>
  <c r="D92" i="7"/>
  <c r="D89" i="7"/>
  <c r="D88" i="7"/>
  <c r="D84" i="7"/>
  <c r="D83" i="7"/>
  <c r="AC73" i="7"/>
  <c r="D73" i="7" s="1"/>
  <c r="AC72" i="7"/>
  <c r="D72" i="7" s="1"/>
  <c r="AC71" i="7"/>
  <c r="D71" i="7" s="1"/>
  <c r="AC70" i="7"/>
  <c r="D70" i="7" s="1"/>
  <c r="AC69" i="7"/>
  <c r="D69" i="7" s="1"/>
  <c r="AC68" i="7"/>
  <c r="D68" i="7" s="1"/>
  <c r="AC67" i="7"/>
  <c r="D67" i="7" s="1"/>
  <c r="AC66" i="7"/>
  <c r="D66" i="7" s="1"/>
  <c r="D65" i="7"/>
  <c r="AC64" i="7"/>
  <c r="D64" i="7" s="1"/>
  <c r="AC63" i="7"/>
  <c r="D63" i="7" s="1"/>
  <c r="AC62" i="7"/>
  <c r="D62" i="7" s="1"/>
  <c r="AC61" i="7"/>
  <c r="D61" i="7" s="1"/>
  <c r="AC60" i="7"/>
  <c r="D60" i="7" s="1"/>
  <c r="AC56" i="7"/>
  <c r="D56" i="7" s="1"/>
  <c r="AC55" i="7"/>
  <c r="D55" i="7" s="1"/>
  <c r="AC50" i="7"/>
  <c r="D50" i="7" s="1"/>
  <c r="AC49" i="7"/>
  <c r="D49" i="7" s="1"/>
  <c r="AC48" i="7"/>
  <c r="D48" i="7" s="1"/>
  <c r="AC47" i="7"/>
  <c r="D47" i="7" s="1"/>
  <c r="AC46" i="7"/>
  <c r="D46" i="7" s="1"/>
  <c r="AC45" i="7"/>
  <c r="D45" i="7" s="1"/>
  <c r="AC44" i="7"/>
  <c r="D44" i="7" s="1"/>
  <c r="AC42" i="7"/>
  <c r="D42" i="7" s="1"/>
  <c r="AC41" i="7"/>
  <c r="D41" i="7" s="1"/>
  <c r="AC40" i="7"/>
  <c r="D40" i="7" s="1"/>
  <c r="AC39" i="7"/>
  <c r="D39" i="7" s="1"/>
  <c r="AC37" i="7"/>
  <c r="D37" i="7" s="1"/>
  <c r="AC36" i="7"/>
  <c r="D36" i="7" s="1"/>
  <c r="AC34" i="7"/>
  <c r="D34" i="7" s="1"/>
  <c r="AC33" i="7"/>
  <c r="D33" i="7" s="1"/>
  <c r="AC32" i="7"/>
  <c r="D32" i="7" s="1"/>
  <c r="AC31" i="7"/>
  <c r="D31" i="7" s="1"/>
  <c r="AC30" i="7"/>
  <c r="D30" i="7" s="1"/>
  <c r="AC29" i="7"/>
  <c r="D29" i="7" s="1"/>
  <c r="AC28" i="7"/>
  <c r="D28" i="7" s="1"/>
  <c r="AC26" i="7"/>
  <c r="D26" i="7" s="1"/>
  <c r="AC25" i="7"/>
  <c r="D25" i="7" s="1"/>
  <c r="AC23" i="7"/>
  <c r="D23" i="7" s="1"/>
  <c r="AC22" i="7"/>
  <c r="AC1070" i="7"/>
  <c r="D1070" i="7" s="1"/>
  <c r="AC1043" i="7"/>
  <c r="D1039" i="7"/>
  <c r="AC1014" i="7"/>
  <c r="D1014" i="7" s="1"/>
  <c r="AC1013" i="7"/>
  <c r="D1013" i="7" s="1"/>
  <c r="AC1012" i="7"/>
  <c r="D1012" i="7" s="1"/>
  <c r="AC805" i="7"/>
  <c r="D805" i="7" s="1"/>
  <c r="AC774" i="7"/>
  <c r="AC704" i="7"/>
  <c r="D704" i="7" s="1"/>
  <c r="AC703" i="7"/>
  <c r="D703" i="7" s="1"/>
  <c r="AC702" i="7"/>
  <c r="D702" i="7" s="1"/>
  <c r="AC689" i="7"/>
  <c r="D536" i="7"/>
  <c r="D535" i="7"/>
  <c r="AC494" i="7"/>
  <c r="D494" i="7" s="1"/>
  <c r="AC493" i="7"/>
  <c r="D493" i="7" s="1"/>
  <c r="AC454" i="7"/>
  <c r="D454" i="7" s="1"/>
  <c r="D448" i="7"/>
  <c r="AC408" i="7"/>
  <c r="D408" i="7" s="1"/>
  <c r="D396" i="7"/>
  <c r="AC344" i="7"/>
  <c r="D344" i="7" s="1"/>
  <c r="AC315" i="7"/>
  <c r="D315" i="7" s="1"/>
  <c r="AC313" i="7"/>
  <c r="D313" i="7" s="1"/>
  <c r="AC312" i="7"/>
  <c r="D312" i="7" s="1"/>
  <c r="AC247" i="7"/>
  <c r="D247" i="7" s="1"/>
  <c r="AC225" i="7"/>
  <c r="D225" i="7" s="1"/>
  <c r="AC223" i="7"/>
  <c r="D223" i="7" s="1"/>
  <c r="AC217" i="7"/>
  <c r="D217" i="7" s="1"/>
  <c r="D195" i="7"/>
  <c r="D194" i="7"/>
  <c r="D193" i="7"/>
  <c r="D185" i="7"/>
  <c r="AC162" i="7"/>
  <c r="AC161" i="7"/>
  <c r="D161" i="7" s="1"/>
  <c r="AC160" i="7"/>
  <c r="D160" i="7" s="1"/>
  <c r="AC155" i="7"/>
  <c r="D155" i="7" s="1"/>
  <c r="AC153" i="7"/>
  <c r="D153" i="7" s="1"/>
  <c r="AC150" i="7"/>
  <c r="D150" i="7" s="1"/>
  <c r="AC1141" i="7"/>
  <c r="D1141" i="7" s="1"/>
  <c r="AC993" i="7"/>
  <c r="D993" i="7" s="1"/>
  <c r="AC904" i="7"/>
  <c r="D904" i="7" s="1"/>
  <c r="AC875" i="7"/>
  <c r="AC874" i="7" s="1"/>
  <c r="AC560" i="7"/>
  <c r="D558" i="7"/>
  <c r="AC554" i="7"/>
  <c r="D446" i="7"/>
  <c r="D445" i="7"/>
  <c r="AC439" i="7"/>
  <c r="D439" i="7" s="1"/>
  <c r="AC428" i="7"/>
  <c r="AC427" i="7" s="1"/>
  <c r="AC390" i="7"/>
  <c r="D390" i="7" s="1"/>
  <c r="D383" i="7"/>
  <c r="AC374" i="7"/>
  <c r="D374" i="7" s="1"/>
  <c r="AC356" i="7"/>
  <c r="D356" i="7" s="1"/>
  <c r="AC355" i="7"/>
  <c r="AC314" i="7"/>
  <c r="D314" i="7" s="1"/>
  <c r="D308" i="7"/>
  <c r="AC296" i="7"/>
  <c r="D296" i="7" s="1"/>
  <c r="AC283" i="7"/>
  <c r="D283" i="7" s="1"/>
  <c r="AC273" i="7"/>
  <c r="D273" i="7" s="1"/>
  <c r="AC268" i="7"/>
  <c r="D268" i="7" s="1"/>
  <c r="D102" i="7"/>
  <c r="AC1059" i="7"/>
  <c r="D1059" i="7" s="1"/>
  <c r="AC550" i="7"/>
  <c r="D550" i="7" s="1"/>
  <c r="AC549" i="7"/>
  <c r="D549" i="7" s="1"/>
  <c r="AC548" i="7"/>
  <c r="D548" i="7" s="1"/>
  <c r="AC547" i="7"/>
  <c r="D547" i="7" s="1"/>
  <c r="AC546" i="7"/>
  <c r="AC495" i="7"/>
  <c r="D495" i="7" s="1"/>
  <c r="D486" i="7"/>
  <c r="D447" i="7"/>
  <c r="AC422" i="7"/>
  <c r="D422" i="7" s="1"/>
  <c r="AC370" i="7"/>
  <c r="D370" i="7" s="1"/>
  <c r="D181" i="7"/>
  <c r="D170" i="7"/>
  <c r="AC149" i="7"/>
  <c r="D149" i="7" s="1"/>
  <c r="D101" i="7"/>
  <c r="D1043" i="7" l="1"/>
  <c r="AC1042" i="7"/>
  <c r="D929" i="7"/>
  <c r="AC928" i="7"/>
  <c r="D1046" i="7"/>
  <c r="AC1045" i="7"/>
  <c r="D988" i="7"/>
  <c r="AC987" i="7"/>
  <c r="D1003" i="7"/>
  <c r="D1031" i="7"/>
  <c r="AC135" i="7"/>
  <c r="AC776" i="7"/>
  <c r="AC680" i="7"/>
  <c r="AC566" i="7"/>
  <c r="D777" i="7"/>
  <c r="D776" i="7" s="1"/>
  <c r="D829" i="7"/>
  <c r="AC828" i="7"/>
  <c r="D849" i="7"/>
  <c r="AC848" i="7"/>
  <c r="D869" i="7"/>
  <c r="AC868" i="7"/>
  <c r="D902" i="7"/>
  <c r="AC901" i="7"/>
  <c r="D919" i="7"/>
  <c r="AC918" i="7"/>
  <c r="D774" i="7"/>
  <c r="AC772" i="7"/>
  <c r="D791" i="7"/>
  <c r="AC790" i="7"/>
  <c r="D802" i="7"/>
  <c r="AC801" i="7"/>
  <c r="D818" i="7"/>
  <c r="AC817" i="7"/>
  <c r="D827" i="7"/>
  <c r="AC826" i="7"/>
  <c r="D835" i="7"/>
  <c r="AC834" i="7"/>
  <c r="D844" i="7"/>
  <c r="AC843" i="7"/>
  <c r="D867" i="7"/>
  <c r="AC866" i="7"/>
  <c r="D889" i="7"/>
  <c r="AC888" i="7"/>
  <c r="D896" i="7"/>
  <c r="AC895" i="7"/>
  <c r="D915" i="7"/>
  <c r="D924" i="7"/>
  <c r="AC923" i="7"/>
  <c r="D804" i="7"/>
  <c r="AC803" i="7"/>
  <c r="D861" i="7"/>
  <c r="AC860" i="7"/>
  <c r="D879" i="7"/>
  <c r="AC878" i="7"/>
  <c r="D898" i="7"/>
  <c r="AC897" i="7"/>
  <c r="D909" i="7"/>
  <c r="AC908" i="7"/>
  <c r="D926" i="7"/>
  <c r="AC925" i="7"/>
  <c r="D875" i="7"/>
  <c r="D874" i="7" s="1"/>
  <c r="D794" i="7"/>
  <c r="AC793" i="7"/>
  <c r="D807" i="7"/>
  <c r="AC806" i="7"/>
  <c r="D823" i="7"/>
  <c r="AC822" i="7"/>
  <c r="D831" i="7"/>
  <c r="AC830" i="7"/>
  <c r="D851" i="7"/>
  <c r="AC850" i="7"/>
  <c r="D863" i="7"/>
  <c r="AC862" i="7"/>
  <c r="D871" i="7"/>
  <c r="AC870" i="7"/>
  <c r="D881" i="7"/>
  <c r="AC880" i="7"/>
  <c r="D911" i="7"/>
  <c r="AC910" i="7"/>
  <c r="D921" i="7"/>
  <c r="AC920" i="7"/>
  <c r="AC810" i="7"/>
  <c r="D825" i="7"/>
  <c r="AC824" i="7"/>
  <c r="D833" i="7"/>
  <c r="AC832" i="7"/>
  <c r="D853" i="7"/>
  <c r="AC852" i="7"/>
  <c r="D858" i="7"/>
  <c r="AC857" i="7"/>
  <c r="D865" i="7"/>
  <c r="AC864" i="7"/>
  <c r="D873" i="7"/>
  <c r="AC872" i="7"/>
  <c r="D883" i="7"/>
  <c r="AC882" i="7"/>
  <c r="D894" i="7"/>
  <c r="AC893" i="7"/>
  <c r="D906" i="7"/>
  <c r="AC905" i="7"/>
  <c r="D913" i="7"/>
  <c r="AC912" i="7"/>
  <c r="D681" i="7"/>
  <c r="D689" i="7"/>
  <c r="D1104" i="7"/>
  <c r="D1103" i="7" s="1"/>
  <c r="AC1103" i="7"/>
  <c r="D997" i="7"/>
  <c r="D799" i="7"/>
  <c r="D798" i="7" s="1"/>
  <c r="D1062" i="7"/>
  <c r="D1061" i="7" s="1"/>
  <c r="AC1061" i="7"/>
  <c r="D900" i="7"/>
  <c r="D899" i="7" s="1"/>
  <c r="CB899" i="7" s="1"/>
  <c r="AC489" i="7"/>
  <c r="AC21" i="7"/>
  <c r="AC368" i="7"/>
  <c r="AC437" i="7"/>
  <c r="AC287" i="7"/>
  <c r="AC544" i="7"/>
  <c r="D339" i="7"/>
  <c r="D491" i="7"/>
  <c r="AC243" i="7"/>
  <c r="D304" i="7"/>
  <c r="D511" i="7"/>
  <c r="D510" i="7" s="1"/>
  <c r="AC510" i="7"/>
  <c r="D22" i="7"/>
  <c r="D21" i="7" s="1"/>
  <c r="AC279" i="7"/>
  <c r="AC372" i="7"/>
  <c r="AC354" i="7"/>
  <c r="AC301" i="7"/>
  <c r="D554" i="7"/>
  <c r="AC294" i="7"/>
  <c r="D311" i="7"/>
  <c r="D310" i="7" s="1"/>
  <c r="AC310" i="7"/>
  <c r="D373" i="7"/>
  <c r="D372" i="7" s="1"/>
  <c r="D407" i="7"/>
  <c r="D406" i="7" s="1"/>
  <c r="AC406" i="7"/>
  <c r="D438" i="7"/>
  <c r="D437" i="7" s="1"/>
  <c r="D451" i="7"/>
  <c r="D450" i="7" s="1"/>
  <c r="AC450" i="7"/>
  <c r="D480" i="7"/>
  <c r="AC479" i="7"/>
  <c r="D136" i="7"/>
  <c r="D379" i="7"/>
  <c r="D443" i="7"/>
  <c r="D442" i="7" s="1"/>
  <c r="D460" i="7"/>
  <c r="D459" i="7" s="1"/>
  <c r="AC459" i="7"/>
  <c r="D482" i="7"/>
  <c r="AC481" i="7"/>
  <c r="D531" i="7"/>
  <c r="D560" i="7"/>
  <c r="D559" i="7" s="1"/>
  <c r="AC559" i="7"/>
  <c r="D419" i="7"/>
  <c r="D418" i="7" s="1"/>
  <c r="AC418" i="7"/>
  <c r="D244" i="7"/>
  <c r="D243" i="7" s="1"/>
  <c r="D369" i="7"/>
  <c r="D368" i="7" s="1"/>
  <c r="D476" i="7"/>
  <c r="AC475" i="7"/>
  <c r="AC501" i="7"/>
  <c r="D288" i="7"/>
  <c r="D287" i="7" s="1"/>
  <c r="D567" i="7"/>
  <c r="D566" i="7" s="1"/>
  <c r="D696" i="7"/>
  <c r="D752" i="7"/>
  <c r="D319" i="7"/>
  <c r="D337" i="7"/>
  <c r="D211" i="7"/>
  <c r="D169" i="7"/>
  <c r="D490" i="7"/>
  <c r="D162" i="7"/>
  <c r="D192" i="7"/>
  <c r="D502" i="7"/>
  <c r="D501" i="7" s="1"/>
  <c r="D280" i="7"/>
  <c r="D279" i="7" s="1"/>
  <c r="D295" i="7"/>
  <c r="D294" i="7" s="1"/>
  <c r="D457" i="7"/>
  <c r="D456" i="7" s="1"/>
  <c r="D317" i="7"/>
  <c r="D395" i="7"/>
  <c r="D394" i="7" s="1"/>
  <c r="CB394" i="7" s="1"/>
  <c r="D410" i="7"/>
  <c r="D426" i="7"/>
  <c r="D474" i="7"/>
  <c r="D398" i="7"/>
  <c r="AC528" i="7"/>
  <c r="D529" i="7"/>
  <c r="D528" i="7" s="1"/>
  <c r="D366" i="7"/>
  <c r="D515" i="7"/>
  <c r="D428" i="7"/>
  <c r="D427" i="7" s="1"/>
  <c r="D470" i="7"/>
  <c r="D469" i="7" s="1"/>
  <c r="D355" i="7"/>
  <c r="D354" i="7" s="1"/>
  <c r="D302" i="7"/>
  <c r="D400" i="7"/>
  <c r="D414" i="7"/>
  <c r="D411" i="7" s="1"/>
  <c r="D377" i="7"/>
  <c r="N221" i="7"/>
  <c r="N209" i="7" s="1"/>
  <c r="D987" i="7" l="1"/>
  <c r="D135" i="7"/>
  <c r="D680" i="7"/>
  <c r="D489" i="7"/>
  <c r="CB489" i="7" s="1"/>
  <c r="D168" i="7"/>
  <c r="CB168" i="7" s="1"/>
  <c r="AC221" i="7"/>
  <c r="AC209" i="7" s="1"/>
  <c r="AC382" i="7"/>
  <c r="AC385" i="7"/>
  <c r="D385" i="7" s="1"/>
  <c r="AC402" i="7"/>
  <c r="E1054" i="7"/>
  <c r="F1054" i="7"/>
  <c r="G1054" i="7"/>
  <c r="H1054" i="7"/>
  <c r="I1054" i="7"/>
  <c r="J1054" i="7"/>
  <c r="K1054" i="7"/>
  <c r="L1054" i="7"/>
  <c r="M1054" i="7"/>
  <c r="N1054" i="7"/>
  <c r="O1054" i="7"/>
  <c r="P1054" i="7"/>
  <c r="Q1054" i="7"/>
  <c r="R1054" i="7"/>
  <c r="S1054" i="7"/>
  <c r="T1054" i="7"/>
  <c r="U1054" i="7"/>
  <c r="V1054" i="7"/>
  <c r="W1054" i="7"/>
  <c r="X1054" i="7"/>
  <c r="Y1054" i="7"/>
  <c r="Z1054" i="7"/>
  <c r="AA1054" i="7"/>
  <c r="AB1054" i="7"/>
  <c r="AD1054" i="7"/>
  <c r="AE1054" i="7"/>
  <c r="AC378" i="7" l="1"/>
  <c r="D402" i="7"/>
  <c r="D221" i="7"/>
  <c r="D382" i="7"/>
  <c r="AC1054" i="7"/>
  <c r="E1168" i="7"/>
  <c r="F1168" i="7"/>
  <c r="G1168" i="7"/>
  <c r="H1168" i="7"/>
  <c r="I1168" i="7"/>
  <c r="J1168" i="7"/>
  <c r="K1168" i="7"/>
  <c r="L1168" i="7"/>
  <c r="M1168" i="7"/>
  <c r="N1168" i="7"/>
  <c r="O1168" i="7"/>
  <c r="P1168" i="7"/>
  <c r="Q1168" i="7"/>
  <c r="R1168" i="7"/>
  <c r="S1168" i="7"/>
  <c r="T1168" i="7"/>
  <c r="U1168" i="7"/>
  <c r="V1168" i="7"/>
  <c r="W1168" i="7"/>
  <c r="X1168" i="7"/>
  <c r="Y1168" i="7"/>
  <c r="Z1168" i="7"/>
  <c r="AA1168" i="7"/>
  <c r="AB1168" i="7"/>
  <c r="AC1168" i="7"/>
  <c r="AD1168" i="7"/>
  <c r="AE1168" i="7"/>
  <c r="AT1172" i="7"/>
  <c r="AT903" i="7"/>
  <c r="AT504" i="7"/>
  <c r="D378" i="7" l="1"/>
  <c r="CB378" i="7" s="1"/>
  <c r="N435" i="7"/>
  <c r="AC436" i="7"/>
  <c r="AC435" i="7" s="1"/>
  <c r="N261" i="7"/>
  <c r="AC261" i="7" s="1"/>
  <c r="D261" i="7" s="1"/>
  <c r="AC260" i="7"/>
  <c r="D260" i="7" s="1"/>
  <c r="N259" i="7"/>
  <c r="AC259" i="7" s="1"/>
  <c r="D259" i="7" s="1"/>
  <c r="N257" i="7"/>
  <c r="AC257" i="7" s="1"/>
  <c r="D257" i="7" s="1"/>
  <c r="N256" i="7"/>
  <c r="AC256" i="7" s="1"/>
  <c r="D256" i="7" s="1"/>
  <c r="N255" i="7"/>
  <c r="AD212" i="7"/>
  <c r="AD209" i="7" s="1"/>
  <c r="N485" i="7"/>
  <c r="N483" i="7" s="1"/>
  <c r="D436" i="7" l="1"/>
  <c r="AC516" i="7"/>
  <c r="AC514" i="7" s="1"/>
  <c r="AC485" i="7"/>
  <c r="AC483" i="7" s="1"/>
  <c r="D212" i="7"/>
  <c r="D209" i="7" s="1"/>
  <c r="AC255" i="7"/>
  <c r="AC250" i="7" s="1"/>
  <c r="R338" i="7"/>
  <c r="R336" i="7" s="1"/>
  <c r="N430" i="7"/>
  <c r="N540" i="7"/>
  <c r="AD546" i="7"/>
  <c r="D546" i="7" s="1"/>
  <c r="AD545" i="7"/>
  <c r="N1007" i="7"/>
  <c r="AC1007" i="7" s="1"/>
  <c r="N916" i="7"/>
  <c r="D1007" i="7" l="1"/>
  <c r="AC1002" i="7"/>
  <c r="AC916" i="7"/>
  <c r="D916" i="7" s="1"/>
  <c r="N914" i="7"/>
  <c r="AD544" i="7"/>
  <c r="N429" i="7"/>
  <c r="AC430" i="7"/>
  <c r="AC429" i="7" s="1"/>
  <c r="AC540" i="7"/>
  <c r="D540" i="7" s="1"/>
  <c r="D539" i="7" s="1"/>
  <c r="N539" i="7"/>
  <c r="D516" i="7"/>
  <c r="D514" i="7" s="1"/>
  <c r="D255" i="7"/>
  <c r="D250" i="7" s="1"/>
  <c r="D485" i="7"/>
  <c r="D483" i="7" s="1"/>
  <c r="CB483" i="7" s="1"/>
  <c r="AC557" i="7"/>
  <c r="AC553" i="7" s="1"/>
  <c r="D545" i="7"/>
  <c r="D544" i="7" s="1"/>
  <c r="AC367" i="7"/>
  <c r="AC365" i="7" s="1"/>
  <c r="AC338" i="7"/>
  <c r="AC336" i="7" s="1"/>
  <c r="AE36" i="8"/>
  <c r="R1079" i="7"/>
  <c r="AC1079" i="7" s="1"/>
  <c r="D1079" i="7" s="1"/>
  <c r="N720" i="7"/>
  <c r="N695" i="7" s="1"/>
  <c r="N532" i="7"/>
  <c r="N530" i="7" s="1"/>
  <c r="N325" i="7"/>
  <c r="N318" i="7" s="1"/>
  <c r="AC914" i="7" l="1"/>
  <c r="AC539" i="7"/>
  <c r="AC720" i="7"/>
  <c r="AC695" i="7" s="1"/>
  <c r="AC532" i="7"/>
  <c r="AC530" i="7" s="1"/>
  <c r="D367" i="7"/>
  <c r="D365" i="7" s="1"/>
  <c r="D430" i="7"/>
  <c r="D429" i="7" s="1"/>
  <c r="D338" i="7"/>
  <c r="D336" i="7" s="1"/>
  <c r="D557" i="7"/>
  <c r="D553" i="7" s="1"/>
  <c r="AC325" i="7"/>
  <c r="AC318" i="7" s="1"/>
  <c r="D720" i="7" l="1"/>
  <c r="D695" i="7" s="1"/>
  <c r="D532" i="7"/>
  <c r="D530" i="7" s="1"/>
  <c r="D325" i="7"/>
  <c r="D318" i="7" s="1"/>
  <c r="AF21" i="8"/>
  <c r="AF14" i="8" s="1"/>
  <c r="B19" i="9"/>
  <c r="B20" i="9"/>
  <c r="AE21" i="8" l="1"/>
  <c r="F21" i="8" s="1"/>
  <c r="AE20" i="8"/>
  <c r="F20" i="8" s="1"/>
  <c r="AT38" i="7" l="1"/>
  <c r="AT174" i="7"/>
  <c r="AT254" i="7"/>
  <c r="AT462" i="7"/>
  <c r="AT697" i="7"/>
  <c r="AT780" i="7"/>
  <c r="AT782" i="7"/>
  <c r="AT785" i="7"/>
  <c r="AT811" i="7"/>
  <c r="AT818" i="7"/>
  <c r="AT838" i="7"/>
  <c r="AT1016" i="7"/>
  <c r="AT1035" i="7"/>
  <c r="AT1040" i="7"/>
  <c r="AT1080" i="7"/>
  <c r="AT1198" i="7"/>
  <c r="J42" i="9" l="1"/>
  <c r="L42" i="9"/>
  <c r="I42" i="9"/>
  <c r="P42" i="9" s="1"/>
  <c r="J28" i="9"/>
  <c r="L28" i="9"/>
  <c r="I28" i="9"/>
  <c r="P28" i="9" s="1"/>
  <c r="B57" i="9"/>
  <c r="B54" i="9"/>
  <c r="B53" i="9"/>
  <c r="B51" i="9"/>
  <c r="B49" i="9"/>
  <c r="B47" i="9"/>
  <c r="B45" i="9"/>
  <c r="B44" i="9"/>
  <c r="B43" i="9"/>
  <c r="B41" i="9"/>
  <c r="B39" i="9"/>
  <c r="B37" i="9"/>
  <c r="B36" i="9"/>
  <c r="B35" i="9"/>
  <c r="B33" i="9"/>
  <c r="B32" i="9"/>
  <c r="B30" i="9"/>
  <c r="B29" i="9"/>
  <c r="B27" i="9"/>
  <c r="B25" i="9"/>
  <c r="B23" i="9"/>
  <c r="B18" i="9"/>
  <c r="B17" i="9"/>
  <c r="B16" i="9"/>
  <c r="B15" i="9"/>
  <c r="B14" i="9"/>
  <c r="K18" i="9"/>
  <c r="AE54" i="8" l="1"/>
  <c r="E53" i="8"/>
  <c r="AE19" i="8"/>
  <c r="F19" i="8" s="1"/>
  <c r="F54" i="8" l="1"/>
  <c r="R1038" i="7" l="1"/>
  <c r="AC1038" i="7" s="1"/>
  <c r="AC1030" i="7" s="1"/>
  <c r="D1038" i="7" l="1"/>
  <c r="D1030" i="7" s="1"/>
  <c r="N757" i="7"/>
  <c r="AC757" i="7" l="1"/>
  <c r="AC751" i="7" s="1"/>
  <c r="D757" i="7" l="1"/>
  <c r="D751" i="7" s="1"/>
  <c r="E1058" i="7"/>
  <c r="F1058" i="7"/>
  <c r="G1058" i="7"/>
  <c r="H1058" i="7"/>
  <c r="I1058" i="7"/>
  <c r="J1058" i="7"/>
  <c r="K1058" i="7"/>
  <c r="L1058" i="7"/>
  <c r="M1058" i="7"/>
  <c r="N1058" i="7"/>
  <c r="O1058" i="7"/>
  <c r="P1058" i="7"/>
  <c r="Q1058" i="7"/>
  <c r="R1058" i="7"/>
  <c r="S1058" i="7"/>
  <c r="T1058" i="7"/>
  <c r="U1058" i="7"/>
  <c r="V1058" i="7"/>
  <c r="W1058" i="7"/>
  <c r="X1058" i="7"/>
  <c r="Y1058" i="7"/>
  <c r="Z1058" i="7"/>
  <c r="AA1058" i="7"/>
  <c r="AB1058" i="7"/>
  <c r="AC1058" i="7"/>
  <c r="AD1058" i="7"/>
  <c r="AE1058" i="7"/>
  <c r="E1064" i="7"/>
  <c r="F1064" i="7"/>
  <c r="G1064" i="7"/>
  <c r="H1064" i="7"/>
  <c r="I1064" i="7"/>
  <c r="J1064" i="7"/>
  <c r="K1064" i="7"/>
  <c r="L1064" i="7"/>
  <c r="M1064" i="7"/>
  <c r="N1064" i="7"/>
  <c r="O1064" i="7"/>
  <c r="P1064" i="7"/>
  <c r="Q1064" i="7"/>
  <c r="R1064" i="7"/>
  <c r="S1064" i="7"/>
  <c r="T1064" i="7"/>
  <c r="U1064" i="7"/>
  <c r="V1064" i="7"/>
  <c r="W1064" i="7"/>
  <c r="X1064" i="7"/>
  <c r="Y1064" i="7"/>
  <c r="Z1064" i="7"/>
  <c r="AA1064" i="7"/>
  <c r="AB1064" i="7"/>
  <c r="AD1064" i="7"/>
  <c r="AE1064" i="7"/>
  <c r="E1066" i="7"/>
  <c r="F1066" i="7"/>
  <c r="G1066" i="7"/>
  <c r="H1066" i="7"/>
  <c r="I1066" i="7"/>
  <c r="J1066" i="7"/>
  <c r="K1066" i="7"/>
  <c r="L1066" i="7"/>
  <c r="M1066" i="7"/>
  <c r="N1066" i="7"/>
  <c r="O1066" i="7"/>
  <c r="P1066" i="7"/>
  <c r="Q1066" i="7"/>
  <c r="R1066" i="7"/>
  <c r="S1066" i="7"/>
  <c r="T1066" i="7"/>
  <c r="U1066" i="7"/>
  <c r="V1066" i="7"/>
  <c r="W1066" i="7"/>
  <c r="X1066" i="7"/>
  <c r="Y1066" i="7"/>
  <c r="Z1066" i="7"/>
  <c r="AA1066" i="7"/>
  <c r="AB1066" i="7"/>
  <c r="AC1066" i="7"/>
  <c r="AD1066" i="7"/>
  <c r="AE1066" i="7"/>
  <c r="E1068" i="7"/>
  <c r="F1068" i="7"/>
  <c r="G1068" i="7"/>
  <c r="H1068" i="7"/>
  <c r="I1068" i="7"/>
  <c r="J1068" i="7"/>
  <c r="K1068" i="7"/>
  <c r="L1068" i="7"/>
  <c r="M1068" i="7"/>
  <c r="N1068" i="7"/>
  <c r="O1068" i="7"/>
  <c r="P1068" i="7"/>
  <c r="Q1068" i="7"/>
  <c r="R1068" i="7"/>
  <c r="S1068" i="7"/>
  <c r="T1068" i="7"/>
  <c r="U1068" i="7"/>
  <c r="V1068" i="7"/>
  <c r="W1068" i="7"/>
  <c r="X1068" i="7"/>
  <c r="Y1068" i="7"/>
  <c r="Z1068" i="7"/>
  <c r="AA1068" i="7"/>
  <c r="AB1068" i="7"/>
  <c r="AC1068" i="7"/>
  <c r="AD1068" i="7"/>
  <c r="AE1068" i="7"/>
  <c r="E1071" i="7"/>
  <c r="F1071" i="7"/>
  <c r="G1071" i="7"/>
  <c r="H1071" i="7"/>
  <c r="I1071" i="7"/>
  <c r="J1071" i="7"/>
  <c r="K1071" i="7"/>
  <c r="L1071" i="7"/>
  <c r="M1071" i="7"/>
  <c r="N1071" i="7"/>
  <c r="O1071" i="7"/>
  <c r="P1071" i="7"/>
  <c r="Q1071" i="7"/>
  <c r="R1071" i="7"/>
  <c r="S1071" i="7"/>
  <c r="T1071" i="7"/>
  <c r="U1071" i="7"/>
  <c r="V1071" i="7"/>
  <c r="W1071" i="7"/>
  <c r="X1071" i="7"/>
  <c r="Y1071" i="7"/>
  <c r="Z1071" i="7"/>
  <c r="AA1071" i="7"/>
  <c r="AB1071" i="7"/>
  <c r="AC1071" i="7"/>
  <c r="AD1071" i="7"/>
  <c r="AE1071" i="7"/>
  <c r="E1075" i="7"/>
  <c r="F1075" i="7"/>
  <c r="G1075" i="7"/>
  <c r="H1075" i="7"/>
  <c r="I1075" i="7"/>
  <c r="J1075" i="7"/>
  <c r="K1075" i="7"/>
  <c r="L1075" i="7"/>
  <c r="M1075" i="7"/>
  <c r="N1075" i="7"/>
  <c r="O1075" i="7"/>
  <c r="P1075" i="7"/>
  <c r="Q1075" i="7"/>
  <c r="R1075" i="7"/>
  <c r="S1075" i="7"/>
  <c r="T1075" i="7"/>
  <c r="U1075" i="7"/>
  <c r="V1075" i="7"/>
  <c r="W1075" i="7"/>
  <c r="X1075" i="7"/>
  <c r="Y1075" i="7"/>
  <c r="Z1075" i="7"/>
  <c r="AA1075" i="7"/>
  <c r="AB1075" i="7"/>
  <c r="AC1075" i="7"/>
  <c r="AD1075" i="7"/>
  <c r="AE1075" i="7"/>
  <c r="E1083" i="7"/>
  <c r="F1083" i="7"/>
  <c r="G1083" i="7"/>
  <c r="H1083" i="7"/>
  <c r="I1083" i="7"/>
  <c r="J1083" i="7"/>
  <c r="K1083" i="7"/>
  <c r="L1083" i="7"/>
  <c r="M1083" i="7"/>
  <c r="N1083" i="7"/>
  <c r="O1083" i="7"/>
  <c r="P1083" i="7"/>
  <c r="Q1083" i="7"/>
  <c r="R1083" i="7"/>
  <c r="S1083" i="7"/>
  <c r="T1083" i="7"/>
  <c r="U1083" i="7"/>
  <c r="V1083" i="7"/>
  <c r="W1083" i="7"/>
  <c r="X1083" i="7"/>
  <c r="Y1083" i="7"/>
  <c r="Z1083" i="7"/>
  <c r="AA1083" i="7"/>
  <c r="AB1083" i="7"/>
  <c r="AC1083" i="7"/>
  <c r="AD1083" i="7"/>
  <c r="AE1083" i="7"/>
  <c r="E1086" i="7"/>
  <c r="F1086" i="7"/>
  <c r="G1086" i="7"/>
  <c r="H1086" i="7"/>
  <c r="I1086" i="7"/>
  <c r="J1086" i="7"/>
  <c r="K1086" i="7"/>
  <c r="L1086" i="7"/>
  <c r="M1086" i="7"/>
  <c r="N1086" i="7"/>
  <c r="O1086" i="7"/>
  <c r="P1086" i="7"/>
  <c r="Q1086" i="7"/>
  <c r="R1086" i="7"/>
  <c r="S1086" i="7"/>
  <c r="T1086" i="7"/>
  <c r="U1086" i="7"/>
  <c r="V1086" i="7"/>
  <c r="W1086" i="7"/>
  <c r="X1086" i="7"/>
  <c r="Y1086" i="7"/>
  <c r="Z1086" i="7"/>
  <c r="AA1086" i="7"/>
  <c r="AB1086" i="7"/>
  <c r="AC1086" i="7"/>
  <c r="AD1086" i="7"/>
  <c r="AE1086" i="7"/>
  <c r="E1088" i="7"/>
  <c r="F1088" i="7"/>
  <c r="G1088" i="7"/>
  <c r="H1088" i="7"/>
  <c r="I1088" i="7"/>
  <c r="J1088" i="7"/>
  <c r="K1088" i="7"/>
  <c r="L1088" i="7"/>
  <c r="M1088" i="7"/>
  <c r="N1088" i="7"/>
  <c r="O1088" i="7"/>
  <c r="P1088" i="7"/>
  <c r="Q1088" i="7"/>
  <c r="R1088" i="7"/>
  <c r="S1088" i="7"/>
  <c r="T1088" i="7"/>
  <c r="U1088" i="7"/>
  <c r="V1088" i="7"/>
  <c r="W1088" i="7"/>
  <c r="X1088" i="7"/>
  <c r="Y1088" i="7"/>
  <c r="Z1088" i="7"/>
  <c r="AA1088" i="7"/>
  <c r="AB1088" i="7"/>
  <c r="AC1088" i="7"/>
  <c r="AD1088" i="7"/>
  <c r="AE1088" i="7"/>
  <c r="E1090" i="7"/>
  <c r="F1090" i="7"/>
  <c r="G1090" i="7"/>
  <c r="H1090" i="7"/>
  <c r="I1090" i="7"/>
  <c r="J1090" i="7"/>
  <c r="K1090" i="7"/>
  <c r="L1090" i="7"/>
  <c r="M1090" i="7"/>
  <c r="N1090" i="7"/>
  <c r="O1090" i="7"/>
  <c r="P1090" i="7"/>
  <c r="Q1090" i="7"/>
  <c r="R1090" i="7"/>
  <c r="S1090" i="7"/>
  <c r="T1090" i="7"/>
  <c r="U1090" i="7"/>
  <c r="V1090" i="7"/>
  <c r="W1090" i="7"/>
  <c r="X1090" i="7"/>
  <c r="Y1090" i="7"/>
  <c r="Z1090" i="7"/>
  <c r="AA1090" i="7"/>
  <c r="AB1090" i="7"/>
  <c r="AC1090" i="7"/>
  <c r="AD1090" i="7"/>
  <c r="AE1090" i="7"/>
  <c r="E1092" i="7"/>
  <c r="F1092" i="7"/>
  <c r="G1092" i="7"/>
  <c r="H1092" i="7"/>
  <c r="I1092" i="7"/>
  <c r="J1092" i="7"/>
  <c r="K1092" i="7"/>
  <c r="L1092" i="7"/>
  <c r="M1092" i="7"/>
  <c r="N1092" i="7"/>
  <c r="O1092" i="7"/>
  <c r="P1092" i="7"/>
  <c r="Q1092" i="7"/>
  <c r="R1092" i="7"/>
  <c r="S1092" i="7"/>
  <c r="T1092" i="7"/>
  <c r="U1092" i="7"/>
  <c r="V1092" i="7"/>
  <c r="W1092" i="7"/>
  <c r="X1092" i="7"/>
  <c r="Y1092" i="7"/>
  <c r="Z1092" i="7"/>
  <c r="AA1092" i="7"/>
  <c r="AB1092" i="7"/>
  <c r="AC1092" i="7"/>
  <c r="AD1092" i="7"/>
  <c r="AE1092" i="7"/>
  <c r="E1094" i="7"/>
  <c r="F1094" i="7"/>
  <c r="G1094" i="7"/>
  <c r="H1094" i="7"/>
  <c r="I1094" i="7"/>
  <c r="J1094" i="7"/>
  <c r="K1094" i="7"/>
  <c r="L1094" i="7"/>
  <c r="M1094" i="7"/>
  <c r="N1094" i="7"/>
  <c r="O1094" i="7"/>
  <c r="P1094" i="7"/>
  <c r="Q1094" i="7"/>
  <c r="R1094" i="7"/>
  <c r="S1094" i="7"/>
  <c r="T1094" i="7"/>
  <c r="U1094" i="7"/>
  <c r="V1094" i="7"/>
  <c r="W1094" i="7"/>
  <c r="X1094" i="7"/>
  <c r="Y1094" i="7"/>
  <c r="Z1094" i="7"/>
  <c r="AA1094" i="7"/>
  <c r="AB1094" i="7"/>
  <c r="AC1094" i="7"/>
  <c r="AD1094" i="7"/>
  <c r="AE1094" i="7"/>
  <c r="E1097" i="7"/>
  <c r="F1097" i="7"/>
  <c r="G1097" i="7"/>
  <c r="H1097" i="7"/>
  <c r="I1097" i="7"/>
  <c r="J1097" i="7"/>
  <c r="K1097" i="7"/>
  <c r="L1097" i="7"/>
  <c r="M1097" i="7"/>
  <c r="N1097" i="7"/>
  <c r="O1097" i="7"/>
  <c r="P1097" i="7"/>
  <c r="Q1097" i="7"/>
  <c r="R1097" i="7"/>
  <c r="S1097" i="7"/>
  <c r="T1097" i="7"/>
  <c r="U1097" i="7"/>
  <c r="V1097" i="7"/>
  <c r="W1097" i="7"/>
  <c r="X1097" i="7"/>
  <c r="Y1097" i="7"/>
  <c r="Z1097" i="7"/>
  <c r="AA1097" i="7"/>
  <c r="AB1097" i="7"/>
  <c r="AC1097" i="7"/>
  <c r="AD1097" i="7"/>
  <c r="AE1097" i="7"/>
  <c r="E1099" i="7"/>
  <c r="F1099" i="7"/>
  <c r="G1099" i="7"/>
  <c r="H1099" i="7"/>
  <c r="I1099" i="7"/>
  <c r="J1099" i="7"/>
  <c r="K1099" i="7"/>
  <c r="L1099" i="7"/>
  <c r="M1099" i="7"/>
  <c r="N1099" i="7"/>
  <c r="O1099" i="7"/>
  <c r="P1099" i="7"/>
  <c r="Q1099" i="7"/>
  <c r="R1099" i="7"/>
  <c r="S1099" i="7"/>
  <c r="T1099" i="7"/>
  <c r="U1099" i="7"/>
  <c r="V1099" i="7"/>
  <c r="W1099" i="7"/>
  <c r="X1099" i="7"/>
  <c r="Y1099" i="7"/>
  <c r="Z1099" i="7"/>
  <c r="AA1099" i="7"/>
  <c r="AB1099" i="7"/>
  <c r="AC1099" i="7"/>
  <c r="AD1099" i="7"/>
  <c r="AE1099" i="7"/>
  <c r="E1101" i="7"/>
  <c r="F1101" i="7"/>
  <c r="G1101" i="7"/>
  <c r="H1101" i="7"/>
  <c r="I1101" i="7"/>
  <c r="J1101" i="7"/>
  <c r="K1101" i="7"/>
  <c r="L1101" i="7"/>
  <c r="M1101" i="7"/>
  <c r="N1101" i="7"/>
  <c r="O1101" i="7"/>
  <c r="P1101" i="7"/>
  <c r="Q1101" i="7"/>
  <c r="R1101" i="7"/>
  <c r="S1101" i="7"/>
  <c r="T1101" i="7"/>
  <c r="U1101" i="7"/>
  <c r="V1101" i="7"/>
  <c r="W1101" i="7"/>
  <c r="X1101" i="7"/>
  <c r="Y1101" i="7"/>
  <c r="Z1101" i="7"/>
  <c r="AA1101" i="7"/>
  <c r="AB1101" i="7"/>
  <c r="AC1101" i="7"/>
  <c r="AD1101" i="7"/>
  <c r="AE1101" i="7"/>
  <c r="E1110" i="7"/>
  <c r="F1110" i="7"/>
  <c r="G1110" i="7"/>
  <c r="H1110" i="7"/>
  <c r="I1110" i="7"/>
  <c r="J1110" i="7"/>
  <c r="K1110" i="7"/>
  <c r="L1110" i="7"/>
  <c r="M1110" i="7"/>
  <c r="N1110" i="7"/>
  <c r="O1110" i="7"/>
  <c r="P1110" i="7"/>
  <c r="Q1110" i="7"/>
  <c r="R1110" i="7"/>
  <c r="S1110" i="7"/>
  <c r="T1110" i="7"/>
  <c r="U1110" i="7"/>
  <c r="V1110" i="7"/>
  <c r="W1110" i="7"/>
  <c r="X1110" i="7"/>
  <c r="Y1110" i="7"/>
  <c r="Z1110" i="7"/>
  <c r="AA1110" i="7"/>
  <c r="AB1110" i="7"/>
  <c r="AC1110" i="7"/>
  <c r="AD1110" i="7"/>
  <c r="AE1110" i="7"/>
  <c r="E1113" i="7"/>
  <c r="F1113" i="7"/>
  <c r="G1113" i="7"/>
  <c r="H1113" i="7"/>
  <c r="I1113" i="7"/>
  <c r="J1113" i="7"/>
  <c r="K1113" i="7"/>
  <c r="L1113" i="7"/>
  <c r="M1113" i="7"/>
  <c r="N1113" i="7"/>
  <c r="O1113" i="7"/>
  <c r="P1113" i="7"/>
  <c r="Q1113" i="7"/>
  <c r="R1113" i="7"/>
  <c r="S1113" i="7"/>
  <c r="T1113" i="7"/>
  <c r="U1113" i="7"/>
  <c r="V1113" i="7"/>
  <c r="W1113" i="7"/>
  <c r="X1113" i="7"/>
  <c r="Y1113" i="7"/>
  <c r="Z1113" i="7"/>
  <c r="AA1113" i="7"/>
  <c r="AB1113" i="7"/>
  <c r="AC1113" i="7"/>
  <c r="AD1113" i="7"/>
  <c r="AE1113" i="7"/>
  <c r="E1117" i="7"/>
  <c r="F1117" i="7"/>
  <c r="G1117" i="7"/>
  <c r="H1117" i="7"/>
  <c r="I1117" i="7"/>
  <c r="J1117" i="7"/>
  <c r="K1117" i="7"/>
  <c r="L1117" i="7"/>
  <c r="M1117" i="7"/>
  <c r="N1117" i="7"/>
  <c r="O1117" i="7"/>
  <c r="P1117" i="7"/>
  <c r="Q1117" i="7"/>
  <c r="R1117" i="7"/>
  <c r="S1117" i="7"/>
  <c r="T1117" i="7"/>
  <c r="U1117" i="7"/>
  <c r="V1117" i="7"/>
  <c r="W1117" i="7"/>
  <c r="X1117" i="7"/>
  <c r="Y1117" i="7"/>
  <c r="Z1117" i="7"/>
  <c r="AA1117" i="7"/>
  <c r="AB1117" i="7"/>
  <c r="AC1117" i="7"/>
  <c r="AD1117" i="7"/>
  <c r="AE1117" i="7"/>
  <c r="E1120" i="7"/>
  <c r="F1120" i="7"/>
  <c r="G1120" i="7"/>
  <c r="H1120" i="7"/>
  <c r="I1120" i="7"/>
  <c r="J1120" i="7"/>
  <c r="K1120" i="7"/>
  <c r="L1120" i="7"/>
  <c r="M1120" i="7"/>
  <c r="N1120" i="7"/>
  <c r="O1120" i="7"/>
  <c r="P1120" i="7"/>
  <c r="Q1120" i="7"/>
  <c r="R1120" i="7"/>
  <c r="S1120" i="7"/>
  <c r="T1120" i="7"/>
  <c r="U1120" i="7"/>
  <c r="V1120" i="7"/>
  <c r="W1120" i="7"/>
  <c r="X1120" i="7"/>
  <c r="Y1120" i="7"/>
  <c r="Z1120" i="7"/>
  <c r="AA1120" i="7"/>
  <c r="AB1120" i="7"/>
  <c r="AC1120" i="7"/>
  <c r="AD1120" i="7"/>
  <c r="AE1120" i="7"/>
  <c r="E1122" i="7"/>
  <c r="F1122" i="7"/>
  <c r="G1122" i="7"/>
  <c r="H1122" i="7"/>
  <c r="I1122" i="7"/>
  <c r="J1122" i="7"/>
  <c r="K1122" i="7"/>
  <c r="L1122" i="7"/>
  <c r="M1122" i="7"/>
  <c r="N1122" i="7"/>
  <c r="O1122" i="7"/>
  <c r="P1122" i="7"/>
  <c r="Q1122" i="7"/>
  <c r="R1122" i="7"/>
  <c r="S1122" i="7"/>
  <c r="T1122" i="7"/>
  <c r="U1122" i="7"/>
  <c r="V1122" i="7"/>
  <c r="W1122" i="7"/>
  <c r="X1122" i="7"/>
  <c r="Y1122" i="7"/>
  <c r="Z1122" i="7"/>
  <c r="AA1122" i="7"/>
  <c r="AB1122" i="7"/>
  <c r="AC1122" i="7"/>
  <c r="AD1122" i="7"/>
  <c r="AE1122" i="7"/>
  <c r="E1126" i="7"/>
  <c r="F1126" i="7"/>
  <c r="G1126" i="7"/>
  <c r="H1126" i="7"/>
  <c r="I1126" i="7"/>
  <c r="J1126" i="7"/>
  <c r="K1126" i="7"/>
  <c r="L1126" i="7"/>
  <c r="M1126" i="7"/>
  <c r="N1126" i="7"/>
  <c r="O1126" i="7"/>
  <c r="P1126" i="7"/>
  <c r="Q1126" i="7"/>
  <c r="R1126" i="7"/>
  <c r="S1126" i="7"/>
  <c r="T1126" i="7"/>
  <c r="U1126" i="7"/>
  <c r="V1126" i="7"/>
  <c r="W1126" i="7"/>
  <c r="X1126" i="7"/>
  <c r="Y1126" i="7"/>
  <c r="Z1126" i="7"/>
  <c r="AA1126" i="7"/>
  <c r="AB1126" i="7"/>
  <c r="AC1126" i="7"/>
  <c r="AD1126" i="7"/>
  <c r="AE1126" i="7"/>
  <c r="E1128" i="7"/>
  <c r="F1128" i="7"/>
  <c r="G1128" i="7"/>
  <c r="H1128" i="7"/>
  <c r="I1128" i="7"/>
  <c r="J1128" i="7"/>
  <c r="K1128" i="7"/>
  <c r="L1128" i="7"/>
  <c r="M1128" i="7"/>
  <c r="N1128" i="7"/>
  <c r="O1128" i="7"/>
  <c r="P1128" i="7"/>
  <c r="Q1128" i="7"/>
  <c r="R1128" i="7"/>
  <c r="S1128" i="7"/>
  <c r="T1128" i="7"/>
  <c r="U1128" i="7"/>
  <c r="V1128" i="7"/>
  <c r="W1128" i="7"/>
  <c r="X1128" i="7"/>
  <c r="Y1128" i="7"/>
  <c r="Z1128" i="7"/>
  <c r="AA1128" i="7"/>
  <c r="AB1128" i="7"/>
  <c r="AC1128" i="7"/>
  <c r="AD1128" i="7"/>
  <c r="AE1128" i="7"/>
  <c r="E1130" i="7"/>
  <c r="F1130" i="7"/>
  <c r="G1130" i="7"/>
  <c r="H1130" i="7"/>
  <c r="I1130" i="7"/>
  <c r="J1130" i="7"/>
  <c r="K1130" i="7"/>
  <c r="L1130" i="7"/>
  <c r="M1130" i="7"/>
  <c r="N1130" i="7"/>
  <c r="O1130" i="7"/>
  <c r="P1130" i="7"/>
  <c r="Q1130" i="7"/>
  <c r="R1130" i="7"/>
  <c r="S1130" i="7"/>
  <c r="T1130" i="7"/>
  <c r="U1130" i="7"/>
  <c r="V1130" i="7"/>
  <c r="W1130" i="7"/>
  <c r="X1130" i="7"/>
  <c r="Y1130" i="7"/>
  <c r="Z1130" i="7"/>
  <c r="AA1130" i="7"/>
  <c r="AB1130" i="7"/>
  <c r="AC1130" i="7"/>
  <c r="AD1130" i="7"/>
  <c r="AE1130" i="7"/>
  <c r="E1132" i="7"/>
  <c r="F1132" i="7"/>
  <c r="G1132" i="7"/>
  <c r="H1132" i="7"/>
  <c r="I1132" i="7"/>
  <c r="J1132" i="7"/>
  <c r="K1132" i="7"/>
  <c r="L1132" i="7"/>
  <c r="M1132" i="7"/>
  <c r="N1132" i="7"/>
  <c r="O1132" i="7"/>
  <c r="P1132" i="7"/>
  <c r="Q1132" i="7"/>
  <c r="R1132" i="7"/>
  <c r="S1132" i="7"/>
  <c r="T1132" i="7"/>
  <c r="U1132" i="7"/>
  <c r="V1132" i="7"/>
  <c r="W1132" i="7"/>
  <c r="X1132" i="7"/>
  <c r="Y1132" i="7"/>
  <c r="Z1132" i="7"/>
  <c r="AA1132" i="7"/>
  <c r="AB1132" i="7"/>
  <c r="AC1132" i="7"/>
  <c r="AD1132" i="7"/>
  <c r="AE1132" i="7"/>
  <c r="E1134" i="7"/>
  <c r="F1134" i="7"/>
  <c r="G1134" i="7"/>
  <c r="H1134" i="7"/>
  <c r="I1134" i="7"/>
  <c r="J1134" i="7"/>
  <c r="K1134" i="7"/>
  <c r="L1134" i="7"/>
  <c r="M1134" i="7"/>
  <c r="N1134" i="7"/>
  <c r="O1134" i="7"/>
  <c r="P1134" i="7"/>
  <c r="Q1134" i="7"/>
  <c r="R1134" i="7"/>
  <c r="S1134" i="7"/>
  <c r="T1134" i="7"/>
  <c r="U1134" i="7"/>
  <c r="V1134" i="7"/>
  <c r="W1134" i="7"/>
  <c r="X1134" i="7"/>
  <c r="Y1134" i="7"/>
  <c r="Z1134" i="7"/>
  <c r="AA1134" i="7"/>
  <c r="AB1134" i="7"/>
  <c r="AC1134" i="7"/>
  <c r="AD1134" i="7"/>
  <c r="AE1134" i="7"/>
  <c r="E1136" i="7"/>
  <c r="F1136" i="7"/>
  <c r="G1136" i="7"/>
  <c r="H1136" i="7"/>
  <c r="I1136" i="7"/>
  <c r="J1136" i="7"/>
  <c r="K1136" i="7"/>
  <c r="L1136" i="7"/>
  <c r="M1136" i="7"/>
  <c r="N1136" i="7"/>
  <c r="O1136" i="7"/>
  <c r="P1136" i="7"/>
  <c r="Q1136" i="7"/>
  <c r="R1136" i="7"/>
  <c r="S1136" i="7"/>
  <c r="T1136" i="7"/>
  <c r="U1136" i="7"/>
  <c r="V1136" i="7"/>
  <c r="W1136" i="7"/>
  <c r="X1136" i="7"/>
  <c r="Y1136" i="7"/>
  <c r="Z1136" i="7"/>
  <c r="AA1136" i="7"/>
  <c r="AB1136" i="7"/>
  <c r="AC1136" i="7"/>
  <c r="AD1136" i="7"/>
  <c r="AE1136" i="7"/>
  <c r="E1138" i="7"/>
  <c r="F1138" i="7"/>
  <c r="G1138" i="7"/>
  <c r="H1138" i="7"/>
  <c r="I1138" i="7"/>
  <c r="J1138" i="7"/>
  <c r="K1138" i="7"/>
  <c r="L1138" i="7"/>
  <c r="M1138" i="7"/>
  <c r="N1138" i="7"/>
  <c r="O1138" i="7"/>
  <c r="P1138" i="7"/>
  <c r="Q1138" i="7"/>
  <c r="R1138" i="7"/>
  <c r="S1138" i="7"/>
  <c r="T1138" i="7"/>
  <c r="U1138" i="7"/>
  <c r="V1138" i="7"/>
  <c r="W1138" i="7"/>
  <c r="X1138" i="7"/>
  <c r="Y1138" i="7"/>
  <c r="Z1138" i="7"/>
  <c r="AA1138" i="7"/>
  <c r="AB1138" i="7"/>
  <c r="AC1138" i="7"/>
  <c r="AD1138" i="7"/>
  <c r="AE1138" i="7"/>
  <c r="E1142" i="7"/>
  <c r="F1142" i="7"/>
  <c r="G1142" i="7"/>
  <c r="H1142" i="7"/>
  <c r="I1142" i="7"/>
  <c r="J1142" i="7"/>
  <c r="K1142" i="7"/>
  <c r="L1142" i="7"/>
  <c r="M1142" i="7"/>
  <c r="N1142" i="7"/>
  <c r="O1142" i="7"/>
  <c r="P1142" i="7"/>
  <c r="Q1142" i="7"/>
  <c r="R1142" i="7"/>
  <c r="S1142" i="7"/>
  <c r="T1142" i="7"/>
  <c r="U1142" i="7"/>
  <c r="V1142" i="7"/>
  <c r="W1142" i="7"/>
  <c r="X1142" i="7"/>
  <c r="Y1142" i="7"/>
  <c r="Z1142" i="7"/>
  <c r="AA1142" i="7"/>
  <c r="AB1142" i="7"/>
  <c r="AC1142" i="7"/>
  <c r="AD1142" i="7"/>
  <c r="AE1142" i="7"/>
  <c r="E1144" i="7"/>
  <c r="F1144" i="7"/>
  <c r="G1144" i="7"/>
  <c r="H1144" i="7"/>
  <c r="I1144" i="7"/>
  <c r="J1144" i="7"/>
  <c r="K1144" i="7"/>
  <c r="L1144" i="7"/>
  <c r="M1144" i="7"/>
  <c r="N1144" i="7"/>
  <c r="O1144" i="7"/>
  <c r="P1144" i="7"/>
  <c r="Q1144" i="7"/>
  <c r="R1144" i="7"/>
  <c r="S1144" i="7"/>
  <c r="T1144" i="7"/>
  <c r="U1144" i="7"/>
  <c r="V1144" i="7"/>
  <c r="W1144" i="7"/>
  <c r="X1144" i="7"/>
  <c r="Y1144" i="7"/>
  <c r="Z1144" i="7"/>
  <c r="AA1144" i="7"/>
  <c r="AB1144" i="7"/>
  <c r="AC1144" i="7"/>
  <c r="AD1144" i="7"/>
  <c r="AE1144" i="7"/>
  <c r="E1146" i="7"/>
  <c r="F1146" i="7"/>
  <c r="G1146" i="7"/>
  <c r="H1146" i="7"/>
  <c r="I1146" i="7"/>
  <c r="J1146" i="7"/>
  <c r="K1146" i="7"/>
  <c r="L1146" i="7"/>
  <c r="M1146" i="7"/>
  <c r="N1146" i="7"/>
  <c r="O1146" i="7"/>
  <c r="P1146" i="7"/>
  <c r="Q1146" i="7"/>
  <c r="R1146" i="7"/>
  <c r="S1146" i="7"/>
  <c r="T1146" i="7"/>
  <c r="U1146" i="7"/>
  <c r="V1146" i="7"/>
  <c r="W1146" i="7"/>
  <c r="X1146" i="7"/>
  <c r="Y1146" i="7"/>
  <c r="Z1146" i="7"/>
  <c r="AA1146" i="7"/>
  <c r="AB1146" i="7"/>
  <c r="AC1146" i="7"/>
  <c r="AD1146" i="7"/>
  <c r="AE1146" i="7"/>
  <c r="E1148" i="7"/>
  <c r="F1148" i="7"/>
  <c r="G1148" i="7"/>
  <c r="H1148" i="7"/>
  <c r="I1148" i="7"/>
  <c r="J1148" i="7"/>
  <c r="K1148" i="7"/>
  <c r="L1148" i="7"/>
  <c r="M1148" i="7"/>
  <c r="N1148" i="7"/>
  <c r="O1148" i="7"/>
  <c r="P1148" i="7"/>
  <c r="Q1148" i="7"/>
  <c r="R1148" i="7"/>
  <c r="S1148" i="7"/>
  <c r="T1148" i="7"/>
  <c r="U1148" i="7"/>
  <c r="V1148" i="7"/>
  <c r="W1148" i="7"/>
  <c r="X1148" i="7"/>
  <c r="Y1148" i="7"/>
  <c r="Z1148" i="7"/>
  <c r="AA1148" i="7"/>
  <c r="AB1148" i="7"/>
  <c r="AC1148" i="7"/>
  <c r="AD1148" i="7"/>
  <c r="AE1148" i="7"/>
  <c r="E1154" i="7"/>
  <c r="F1154" i="7"/>
  <c r="G1154" i="7"/>
  <c r="H1154" i="7"/>
  <c r="I1154" i="7"/>
  <c r="J1154" i="7"/>
  <c r="K1154" i="7"/>
  <c r="L1154" i="7"/>
  <c r="M1154" i="7"/>
  <c r="N1154" i="7"/>
  <c r="O1154" i="7"/>
  <c r="P1154" i="7"/>
  <c r="Q1154" i="7"/>
  <c r="R1154" i="7"/>
  <c r="S1154" i="7"/>
  <c r="T1154" i="7"/>
  <c r="U1154" i="7"/>
  <c r="V1154" i="7"/>
  <c r="W1154" i="7"/>
  <c r="X1154" i="7"/>
  <c r="Y1154" i="7"/>
  <c r="Z1154" i="7"/>
  <c r="AA1154" i="7"/>
  <c r="AB1154" i="7"/>
  <c r="AC1154" i="7"/>
  <c r="AD1154" i="7"/>
  <c r="AE1154" i="7"/>
  <c r="E1156" i="7"/>
  <c r="F1156" i="7"/>
  <c r="G1156" i="7"/>
  <c r="H1156" i="7"/>
  <c r="I1156" i="7"/>
  <c r="J1156" i="7"/>
  <c r="K1156" i="7"/>
  <c r="L1156" i="7"/>
  <c r="M1156" i="7"/>
  <c r="N1156" i="7"/>
  <c r="O1156" i="7"/>
  <c r="P1156" i="7"/>
  <c r="Q1156" i="7"/>
  <c r="R1156" i="7"/>
  <c r="S1156" i="7"/>
  <c r="T1156" i="7"/>
  <c r="U1156" i="7"/>
  <c r="V1156" i="7"/>
  <c r="W1156" i="7"/>
  <c r="X1156" i="7"/>
  <c r="Y1156" i="7"/>
  <c r="Z1156" i="7"/>
  <c r="AA1156" i="7"/>
  <c r="AB1156" i="7"/>
  <c r="AC1156" i="7"/>
  <c r="AD1156" i="7"/>
  <c r="AE1156" i="7"/>
  <c r="E1158" i="7"/>
  <c r="F1158" i="7"/>
  <c r="G1158" i="7"/>
  <c r="H1158" i="7"/>
  <c r="I1158" i="7"/>
  <c r="J1158" i="7"/>
  <c r="K1158" i="7"/>
  <c r="L1158" i="7"/>
  <c r="M1158" i="7"/>
  <c r="N1158" i="7"/>
  <c r="O1158" i="7"/>
  <c r="P1158" i="7"/>
  <c r="Q1158" i="7"/>
  <c r="R1158" i="7"/>
  <c r="S1158" i="7"/>
  <c r="T1158" i="7"/>
  <c r="U1158" i="7"/>
  <c r="V1158" i="7"/>
  <c r="W1158" i="7"/>
  <c r="X1158" i="7"/>
  <c r="Y1158" i="7"/>
  <c r="Z1158" i="7"/>
  <c r="AA1158" i="7"/>
  <c r="AB1158" i="7"/>
  <c r="AC1158" i="7"/>
  <c r="AD1158" i="7"/>
  <c r="AE1158" i="7"/>
  <c r="E1161" i="7"/>
  <c r="F1161" i="7"/>
  <c r="G1161" i="7"/>
  <c r="H1161" i="7"/>
  <c r="I1161" i="7"/>
  <c r="J1161" i="7"/>
  <c r="K1161" i="7"/>
  <c r="L1161" i="7"/>
  <c r="M1161" i="7"/>
  <c r="N1161" i="7"/>
  <c r="O1161" i="7"/>
  <c r="P1161" i="7"/>
  <c r="Q1161" i="7"/>
  <c r="R1161" i="7"/>
  <c r="S1161" i="7"/>
  <c r="T1161" i="7"/>
  <c r="U1161" i="7"/>
  <c r="V1161" i="7"/>
  <c r="W1161" i="7"/>
  <c r="X1161" i="7"/>
  <c r="Y1161" i="7"/>
  <c r="Z1161" i="7"/>
  <c r="AA1161" i="7"/>
  <c r="AB1161" i="7"/>
  <c r="AC1161" i="7"/>
  <c r="AD1161" i="7"/>
  <c r="AE1161" i="7"/>
  <c r="E1164" i="7"/>
  <c r="F1164" i="7"/>
  <c r="G1164" i="7"/>
  <c r="H1164" i="7"/>
  <c r="I1164" i="7"/>
  <c r="J1164" i="7"/>
  <c r="K1164" i="7"/>
  <c r="L1164" i="7"/>
  <c r="M1164" i="7"/>
  <c r="N1164" i="7"/>
  <c r="O1164" i="7"/>
  <c r="P1164" i="7"/>
  <c r="Q1164" i="7"/>
  <c r="R1164" i="7"/>
  <c r="S1164" i="7"/>
  <c r="T1164" i="7"/>
  <c r="U1164" i="7"/>
  <c r="V1164" i="7"/>
  <c r="W1164" i="7"/>
  <c r="X1164" i="7"/>
  <c r="Y1164" i="7"/>
  <c r="Z1164" i="7"/>
  <c r="AA1164" i="7"/>
  <c r="AB1164" i="7"/>
  <c r="AC1164" i="7"/>
  <c r="AD1164" i="7"/>
  <c r="AE1164" i="7"/>
  <c r="E1173" i="7"/>
  <c r="F1173" i="7"/>
  <c r="G1173" i="7"/>
  <c r="H1173" i="7"/>
  <c r="I1173" i="7"/>
  <c r="J1173" i="7"/>
  <c r="K1173" i="7"/>
  <c r="L1173" i="7"/>
  <c r="M1173" i="7"/>
  <c r="N1173" i="7"/>
  <c r="O1173" i="7"/>
  <c r="P1173" i="7"/>
  <c r="Q1173" i="7"/>
  <c r="R1173" i="7"/>
  <c r="S1173" i="7"/>
  <c r="T1173" i="7"/>
  <c r="U1173" i="7"/>
  <c r="V1173" i="7"/>
  <c r="W1173" i="7"/>
  <c r="X1173" i="7"/>
  <c r="Y1173" i="7"/>
  <c r="Z1173" i="7"/>
  <c r="AA1173" i="7"/>
  <c r="AB1173" i="7"/>
  <c r="AC1173" i="7"/>
  <c r="AD1173" i="7"/>
  <c r="AE1173" i="7"/>
  <c r="E1176" i="7"/>
  <c r="F1176" i="7"/>
  <c r="G1176" i="7"/>
  <c r="H1176" i="7"/>
  <c r="I1176" i="7"/>
  <c r="J1176" i="7"/>
  <c r="K1176" i="7"/>
  <c r="L1176" i="7"/>
  <c r="M1176" i="7"/>
  <c r="N1176" i="7"/>
  <c r="O1176" i="7"/>
  <c r="P1176" i="7"/>
  <c r="Q1176" i="7"/>
  <c r="R1176" i="7"/>
  <c r="S1176" i="7"/>
  <c r="T1176" i="7"/>
  <c r="U1176" i="7"/>
  <c r="V1176" i="7"/>
  <c r="W1176" i="7"/>
  <c r="X1176" i="7"/>
  <c r="Y1176" i="7"/>
  <c r="Z1176" i="7"/>
  <c r="AA1176" i="7"/>
  <c r="AB1176" i="7"/>
  <c r="AC1176" i="7"/>
  <c r="AD1176" i="7"/>
  <c r="AE1176" i="7"/>
  <c r="E1178" i="7"/>
  <c r="F1178" i="7"/>
  <c r="G1178" i="7"/>
  <c r="H1178" i="7"/>
  <c r="I1178" i="7"/>
  <c r="J1178" i="7"/>
  <c r="K1178" i="7"/>
  <c r="L1178" i="7"/>
  <c r="M1178" i="7"/>
  <c r="N1178" i="7"/>
  <c r="O1178" i="7"/>
  <c r="P1178" i="7"/>
  <c r="Q1178" i="7"/>
  <c r="R1178" i="7"/>
  <c r="S1178" i="7"/>
  <c r="T1178" i="7"/>
  <c r="U1178" i="7"/>
  <c r="V1178" i="7"/>
  <c r="W1178" i="7"/>
  <c r="X1178" i="7"/>
  <c r="Y1178" i="7"/>
  <c r="Z1178" i="7"/>
  <c r="AA1178" i="7"/>
  <c r="AB1178" i="7"/>
  <c r="AC1178" i="7"/>
  <c r="AD1178" i="7"/>
  <c r="AE1178" i="7"/>
  <c r="E1180" i="7"/>
  <c r="F1180" i="7"/>
  <c r="G1180" i="7"/>
  <c r="H1180" i="7"/>
  <c r="I1180" i="7"/>
  <c r="J1180" i="7"/>
  <c r="K1180" i="7"/>
  <c r="L1180" i="7"/>
  <c r="M1180" i="7"/>
  <c r="N1180" i="7"/>
  <c r="O1180" i="7"/>
  <c r="P1180" i="7"/>
  <c r="Q1180" i="7"/>
  <c r="R1180" i="7"/>
  <c r="S1180" i="7"/>
  <c r="T1180" i="7"/>
  <c r="U1180" i="7"/>
  <c r="V1180" i="7"/>
  <c r="W1180" i="7"/>
  <c r="X1180" i="7"/>
  <c r="Y1180" i="7"/>
  <c r="Z1180" i="7"/>
  <c r="AA1180" i="7"/>
  <c r="AB1180" i="7"/>
  <c r="AC1180" i="7"/>
  <c r="AD1180" i="7"/>
  <c r="AE1180" i="7"/>
  <c r="E1183" i="7"/>
  <c r="F1183" i="7"/>
  <c r="G1183" i="7"/>
  <c r="H1183" i="7"/>
  <c r="I1183" i="7"/>
  <c r="J1183" i="7"/>
  <c r="K1183" i="7"/>
  <c r="L1183" i="7"/>
  <c r="M1183" i="7"/>
  <c r="N1183" i="7"/>
  <c r="O1183" i="7"/>
  <c r="P1183" i="7"/>
  <c r="Q1183" i="7"/>
  <c r="R1183" i="7"/>
  <c r="S1183" i="7"/>
  <c r="T1183" i="7"/>
  <c r="U1183" i="7"/>
  <c r="V1183" i="7"/>
  <c r="W1183" i="7"/>
  <c r="X1183" i="7"/>
  <c r="Y1183" i="7"/>
  <c r="Z1183" i="7"/>
  <c r="AA1183" i="7"/>
  <c r="AB1183" i="7"/>
  <c r="AC1183" i="7"/>
  <c r="AD1183" i="7"/>
  <c r="AE1183" i="7"/>
  <c r="E1187" i="7"/>
  <c r="F1187" i="7"/>
  <c r="G1187" i="7"/>
  <c r="H1187" i="7"/>
  <c r="I1187" i="7"/>
  <c r="J1187" i="7"/>
  <c r="K1187" i="7"/>
  <c r="L1187" i="7"/>
  <c r="M1187" i="7"/>
  <c r="N1187" i="7"/>
  <c r="O1187" i="7"/>
  <c r="P1187" i="7"/>
  <c r="Q1187" i="7"/>
  <c r="R1187" i="7"/>
  <c r="S1187" i="7"/>
  <c r="T1187" i="7"/>
  <c r="U1187" i="7"/>
  <c r="V1187" i="7"/>
  <c r="W1187" i="7"/>
  <c r="X1187" i="7"/>
  <c r="Y1187" i="7"/>
  <c r="Z1187" i="7"/>
  <c r="AA1187" i="7"/>
  <c r="AB1187" i="7"/>
  <c r="AC1187" i="7"/>
  <c r="AD1187" i="7"/>
  <c r="AE1187" i="7"/>
  <c r="E1189" i="7"/>
  <c r="F1189" i="7"/>
  <c r="G1189" i="7"/>
  <c r="H1189" i="7"/>
  <c r="I1189" i="7"/>
  <c r="J1189" i="7"/>
  <c r="K1189" i="7"/>
  <c r="L1189" i="7"/>
  <c r="M1189" i="7"/>
  <c r="N1189" i="7"/>
  <c r="O1189" i="7"/>
  <c r="P1189" i="7"/>
  <c r="Q1189" i="7"/>
  <c r="R1189" i="7"/>
  <c r="S1189" i="7"/>
  <c r="T1189" i="7"/>
  <c r="U1189" i="7"/>
  <c r="V1189" i="7"/>
  <c r="W1189" i="7"/>
  <c r="X1189" i="7"/>
  <c r="Y1189" i="7"/>
  <c r="Z1189" i="7"/>
  <c r="AA1189" i="7"/>
  <c r="AB1189" i="7"/>
  <c r="AC1189" i="7"/>
  <c r="AD1189" i="7"/>
  <c r="AE1189" i="7"/>
  <c r="E1191" i="7"/>
  <c r="F1191" i="7"/>
  <c r="G1191" i="7"/>
  <c r="H1191" i="7"/>
  <c r="I1191" i="7"/>
  <c r="J1191" i="7"/>
  <c r="K1191" i="7"/>
  <c r="L1191" i="7"/>
  <c r="M1191" i="7"/>
  <c r="N1191" i="7"/>
  <c r="O1191" i="7"/>
  <c r="P1191" i="7"/>
  <c r="Q1191" i="7"/>
  <c r="R1191" i="7"/>
  <c r="S1191" i="7"/>
  <c r="T1191" i="7"/>
  <c r="U1191" i="7"/>
  <c r="V1191" i="7"/>
  <c r="W1191" i="7"/>
  <c r="X1191" i="7"/>
  <c r="Y1191" i="7"/>
  <c r="Z1191" i="7"/>
  <c r="AA1191" i="7"/>
  <c r="AB1191" i="7"/>
  <c r="AC1191" i="7"/>
  <c r="AD1191" i="7"/>
  <c r="AE1191" i="7"/>
  <c r="E1193" i="7"/>
  <c r="F1193" i="7"/>
  <c r="G1193" i="7"/>
  <c r="H1193" i="7"/>
  <c r="I1193" i="7"/>
  <c r="J1193" i="7"/>
  <c r="K1193" i="7"/>
  <c r="L1193" i="7"/>
  <c r="M1193" i="7"/>
  <c r="N1193" i="7"/>
  <c r="O1193" i="7"/>
  <c r="P1193" i="7"/>
  <c r="Q1193" i="7"/>
  <c r="R1193" i="7"/>
  <c r="S1193" i="7"/>
  <c r="T1193" i="7"/>
  <c r="U1193" i="7"/>
  <c r="V1193" i="7"/>
  <c r="W1193" i="7"/>
  <c r="X1193" i="7"/>
  <c r="Y1193" i="7"/>
  <c r="Z1193" i="7"/>
  <c r="AA1193" i="7"/>
  <c r="AB1193" i="7"/>
  <c r="AC1193" i="7"/>
  <c r="AD1193" i="7"/>
  <c r="AE1193" i="7"/>
  <c r="E1197" i="7"/>
  <c r="F1197" i="7"/>
  <c r="G1197" i="7"/>
  <c r="H1197" i="7"/>
  <c r="I1197" i="7"/>
  <c r="J1197" i="7"/>
  <c r="K1197" i="7"/>
  <c r="L1197" i="7"/>
  <c r="M1197" i="7"/>
  <c r="N1197" i="7"/>
  <c r="O1197" i="7"/>
  <c r="P1197" i="7"/>
  <c r="Q1197" i="7"/>
  <c r="R1197" i="7"/>
  <c r="S1197" i="7"/>
  <c r="T1197" i="7"/>
  <c r="U1197" i="7"/>
  <c r="V1197" i="7"/>
  <c r="W1197" i="7"/>
  <c r="X1197" i="7"/>
  <c r="Y1197" i="7"/>
  <c r="Z1197" i="7"/>
  <c r="AA1197" i="7"/>
  <c r="AB1197" i="7"/>
  <c r="AC1197" i="7"/>
  <c r="AD1197" i="7"/>
  <c r="AE1197" i="7"/>
  <c r="D316" i="7" l="1"/>
  <c r="CD406" i="7"/>
  <c r="D409" i="7"/>
  <c r="D435" i="7"/>
  <c r="CE514" i="7"/>
  <c r="D301" i="7"/>
  <c r="CD411" i="7"/>
  <c r="D425" i="7"/>
  <c r="D473" i="7"/>
  <c r="D893" i="7"/>
  <c r="D1054" i="7"/>
  <c r="D1168" i="7"/>
  <c r="D901" i="7"/>
  <c r="D1128" i="7"/>
  <c r="D1099" i="7"/>
  <c r="D1197" i="7"/>
  <c r="D910" i="7"/>
  <c r="D1136" i="7"/>
  <c r="D868" i="7"/>
  <c r="D895" i="7"/>
  <c r="D1086" i="7"/>
  <c r="D1101" i="7"/>
  <c r="D850" i="7"/>
  <c r="D862" i="7"/>
  <c r="D870" i="7"/>
  <c r="D878" i="7"/>
  <c r="D897" i="7"/>
  <c r="D918" i="7"/>
  <c r="D925" i="7"/>
  <c r="D1071" i="7"/>
  <c r="D1088" i="7"/>
  <c r="D1132" i="7"/>
  <c r="D1146" i="7"/>
  <c r="D1187" i="7"/>
  <c r="D866" i="7"/>
  <c r="D1092" i="7"/>
  <c r="D1142" i="7"/>
  <c r="D1156" i="7"/>
  <c r="D1178" i="7"/>
  <c r="D1191" i="7"/>
  <c r="D848" i="7"/>
  <c r="D860" i="7"/>
  <c r="D912" i="7"/>
  <c r="D923" i="7"/>
  <c r="D1130" i="7"/>
  <c r="D1144" i="7"/>
  <c r="D864" i="7"/>
  <c r="D872" i="7"/>
  <c r="D880" i="7"/>
  <c r="D891" i="7"/>
  <c r="D908" i="7"/>
  <c r="D1066" i="7"/>
  <c r="D1090" i="7"/>
  <c r="D1097" i="7"/>
  <c r="D1120" i="7"/>
  <c r="D1126" i="7"/>
  <c r="D1134" i="7"/>
  <c r="D1154" i="7"/>
  <c r="D1176" i="7"/>
  <c r="D1189" i="7"/>
  <c r="D1083" i="7"/>
  <c r="D1161" i="7"/>
  <c r="D1068" i="7"/>
  <c r="D1110" i="7"/>
  <c r="D857" i="7"/>
  <c r="D1058" i="7"/>
  <c r="D914" i="7"/>
  <c r="D1113" i="7"/>
  <c r="D888" i="7"/>
  <c r="D905" i="7"/>
  <c r="D1094" i="7"/>
  <c r="D1117" i="7"/>
  <c r="D1122" i="7"/>
  <c r="D1158" i="7"/>
  <c r="D1173" i="7"/>
  <c r="D1180" i="7"/>
  <c r="D920" i="7"/>
  <c r="D882" i="7"/>
  <c r="D1075" i="7"/>
  <c r="CB1103" i="7"/>
  <c r="D1138" i="7"/>
  <c r="D1148" i="7"/>
  <c r="D1164" i="7"/>
  <c r="D1183" i="7"/>
  <c r="D1193" i="7"/>
  <c r="D1042" i="7"/>
  <c r="AE927" i="7"/>
  <c r="AA927" i="7"/>
  <c r="W927" i="7"/>
  <c r="S927" i="7"/>
  <c r="O927" i="7"/>
  <c r="K927" i="7"/>
  <c r="G927" i="7"/>
  <c r="D852" i="7"/>
  <c r="CB987" i="7"/>
  <c r="D1002" i="7"/>
  <c r="D1045" i="7"/>
  <c r="Y927" i="7"/>
  <c r="U927" i="7"/>
  <c r="Q927" i="7"/>
  <c r="M927" i="7"/>
  <c r="I927" i="7"/>
  <c r="E927" i="7"/>
  <c r="AD927" i="7"/>
  <c r="Z927" i="7"/>
  <c r="V927" i="7"/>
  <c r="R927" i="7"/>
  <c r="N927" i="7"/>
  <c r="J927" i="7"/>
  <c r="F927" i="7"/>
  <c r="AB927" i="7"/>
  <c r="X927" i="7"/>
  <c r="T927" i="7"/>
  <c r="H927" i="7"/>
  <c r="L927" i="7"/>
  <c r="P927" i="7"/>
  <c r="D845" i="7"/>
  <c r="D843" i="7"/>
  <c r="D834" i="7"/>
  <c r="D832" i="7"/>
  <c r="D830" i="7"/>
  <c r="D828" i="7"/>
  <c r="D826" i="7"/>
  <c r="D824" i="7"/>
  <c r="D822" i="7"/>
  <c r="D817" i="7"/>
  <c r="D810" i="7"/>
  <c r="D806" i="7"/>
  <c r="D803" i="7"/>
  <c r="D801" i="7"/>
  <c r="D793" i="7"/>
  <c r="D790" i="7"/>
  <c r="D772" i="7"/>
  <c r="E563" i="7"/>
  <c r="F563" i="7"/>
  <c r="G563" i="7"/>
  <c r="H563" i="7"/>
  <c r="I563" i="7"/>
  <c r="J563" i="7"/>
  <c r="K563" i="7"/>
  <c r="L563" i="7"/>
  <c r="M563" i="7"/>
  <c r="N563" i="7"/>
  <c r="O563" i="7"/>
  <c r="P563" i="7"/>
  <c r="Q563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AD563" i="7"/>
  <c r="AE563" i="7"/>
  <c r="D563" i="7"/>
  <c r="CB563" i="7" s="1"/>
  <c r="E542" i="7"/>
  <c r="F542" i="7"/>
  <c r="G542" i="7"/>
  <c r="H542" i="7"/>
  <c r="I542" i="7"/>
  <c r="J542" i="7"/>
  <c r="K542" i="7"/>
  <c r="L542" i="7"/>
  <c r="M542" i="7"/>
  <c r="N542" i="7"/>
  <c r="O542" i="7"/>
  <c r="P542" i="7"/>
  <c r="Q542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AD542" i="7"/>
  <c r="AE542" i="7"/>
  <c r="D542" i="7"/>
  <c r="E537" i="7"/>
  <c r="F537" i="7"/>
  <c r="G537" i="7"/>
  <c r="H537" i="7"/>
  <c r="I537" i="7"/>
  <c r="J537" i="7"/>
  <c r="K537" i="7"/>
  <c r="L537" i="7"/>
  <c r="M537" i="7"/>
  <c r="N537" i="7"/>
  <c r="O537" i="7"/>
  <c r="P537" i="7"/>
  <c r="Q537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AD537" i="7"/>
  <c r="AE537" i="7"/>
  <c r="D537" i="7"/>
  <c r="E526" i="7"/>
  <c r="F526" i="7"/>
  <c r="G526" i="7"/>
  <c r="H526" i="7"/>
  <c r="I526" i="7"/>
  <c r="J526" i="7"/>
  <c r="K526" i="7"/>
  <c r="L526" i="7"/>
  <c r="M526" i="7"/>
  <c r="N526" i="7"/>
  <c r="O526" i="7"/>
  <c r="P526" i="7"/>
  <c r="Q526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AD526" i="7"/>
  <c r="AE526" i="7"/>
  <c r="D526" i="7"/>
  <c r="E524" i="7"/>
  <c r="F524" i="7"/>
  <c r="G524" i="7"/>
  <c r="H524" i="7"/>
  <c r="I524" i="7"/>
  <c r="J524" i="7"/>
  <c r="K524" i="7"/>
  <c r="L524" i="7"/>
  <c r="M524" i="7"/>
  <c r="N524" i="7"/>
  <c r="O524" i="7"/>
  <c r="P524" i="7"/>
  <c r="Q524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AD524" i="7"/>
  <c r="AE524" i="7"/>
  <c r="D524" i="7"/>
  <c r="E522" i="7"/>
  <c r="F522" i="7"/>
  <c r="G522" i="7"/>
  <c r="H522" i="7"/>
  <c r="I522" i="7"/>
  <c r="J522" i="7"/>
  <c r="K522" i="7"/>
  <c r="L522" i="7"/>
  <c r="M522" i="7"/>
  <c r="N522" i="7"/>
  <c r="O522" i="7"/>
  <c r="P522" i="7"/>
  <c r="Q522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AD522" i="7"/>
  <c r="AE522" i="7"/>
  <c r="D522" i="7"/>
  <c r="E520" i="7"/>
  <c r="F520" i="7"/>
  <c r="G520" i="7"/>
  <c r="H520" i="7"/>
  <c r="I520" i="7"/>
  <c r="J520" i="7"/>
  <c r="K520" i="7"/>
  <c r="L520" i="7"/>
  <c r="M520" i="7"/>
  <c r="N520" i="7"/>
  <c r="O520" i="7"/>
  <c r="P520" i="7"/>
  <c r="Q520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AD520" i="7"/>
  <c r="AE520" i="7"/>
  <c r="D520" i="7"/>
  <c r="D481" i="7"/>
  <c r="D479" i="7"/>
  <c r="D475" i="7"/>
  <c r="D399" i="7"/>
  <c r="D397" i="7"/>
  <c r="D376" i="7"/>
  <c r="J11" i="9"/>
  <c r="L11" i="9"/>
  <c r="I11" i="9"/>
  <c r="P11" i="9" s="1"/>
  <c r="AD565" i="7" l="1"/>
  <c r="Z565" i="7"/>
  <c r="V565" i="7"/>
  <c r="R565" i="7"/>
  <c r="N565" i="7"/>
  <c r="J565" i="7"/>
  <c r="F565" i="7"/>
  <c r="AB565" i="7"/>
  <c r="AC565" i="7"/>
  <c r="Y565" i="7"/>
  <c r="U565" i="7"/>
  <c r="Q565" i="7"/>
  <c r="M565" i="7"/>
  <c r="I565" i="7"/>
  <c r="E565" i="7"/>
  <c r="T565" i="7"/>
  <c r="H565" i="7"/>
  <c r="X565" i="7"/>
  <c r="P565" i="7"/>
  <c r="L565" i="7"/>
  <c r="AE565" i="7"/>
  <c r="AA565" i="7"/>
  <c r="W565" i="7"/>
  <c r="S565" i="7"/>
  <c r="O565" i="7"/>
  <c r="K565" i="7"/>
  <c r="G565" i="7"/>
  <c r="AW378" i="7"/>
  <c r="K25" i="9"/>
  <c r="K24" i="9" s="1"/>
  <c r="K57" i="9"/>
  <c r="J24" i="9"/>
  <c r="L24" i="9"/>
  <c r="I24" i="9"/>
  <c r="P24" i="9" s="1"/>
  <c r="B12" i="9"/>
  <c r="G20" i="7" l="1"/>
  <c r="G19" i="7" s="1"/>
  <c r="K20" i="7"/>
  <c r="K19" i="7" s="1"/>
  <c r="AA20" i="7"/>
  <c r="AA19" i="7" s="1"/>
  <c r="X20" i="7"/>
  <c r="X19" i="7" s="1"/>
  <c r="I20" i="7"/>
  <c r="I19" i="7" s="1"/>
  <c r="Y20" i="7"/>
  <c r="Y19" i="7" s="1"/>
  <c r="J20" i="7"/>
  <c r="J19" i="7" s="1"/>
  <c r="Z20" i="7"/>
  <c r="Z19" i="7" s="1"/>
  <c r="O20" i="7"/>
  <c r="O19" i="7" s="1"/>
  <c r="H20" i="7"/>
  <c r="H19" i="7" s="1"/>
  <c r="M20" i="7"/>
  <c r="M19" i="7" s="1"/>
  <c r="AD20" i="7"/>
  <c r="AD19" i="7" s="1"/>
  <c r="AE20" i="7"/>
  <c r="AE19" i="7" s="1"/>
  <c r="S20" i="7"/>
  <c r="S19" i="7" s="1"/>
  <c r="L20" i="7"/>
  <c r="L19" i="7" s="1"/>
  <c r="T20" i="7"/>
  <c r="T19" i="7" s="1"/>
  <c r="Q20" i="7"/>
  <c r="Q19" i="7" s="1"/>
  <c r="AB20" i="7"/>
  <c r="AB19" i="7" s="1"/>
  <c r="R20" i="7"/>
  <c r="W20" i="7"/>
  <c r="W19" i="7" s="1"/>
  <c r="P20" i="7"/>
  <c r="P19" i="7" s="1"/>
  <c r="E20" i="7"/>
  <c r="E19" i="7" s="1"/>
  <c r="U20" i="7"/>
  <c r="U19" i="7" s="1"/>
  <c r="F20" i="7"/>
  <c r="F19" i="7" s="1"/>
  <c r="V20" i="7"/>
  <c r="V19" i="7" s="1"/>
  <c r="N20" i="7"/>
  <c r="N19" i="7" s="1"/>
  <c r="AT692" i="7"/>
  <c r="AT691" i="7"/>
  <c r="AT471" i="7"/>
  <c r="AT1074" i="7"/>
  <c r="AT912" i="7"/>
  <c r="AT791" i="7"/>
  <c r="AT792" i="7"/>
  <c r="AT1054" i="7"/>
  <c r="AT885" i="7"/>
  <c r="AT800" i="7"/>
  <c r="AT1180" i="7"/>
  <c r="AT816" i="7"/>
  <c r="AT986" i="7"/>
  <c r="AT1189" i="7"/>
  <c r="AT1129" i="7"/>
  <c r="AT1068" i="7"/>
  <c r="AT713" i="7"/>
  <c r="AT1170" i="7"/>
  <c r="AT1057" i="7"/>
  <c r="AT1181" i="7"/>
  <c r="AT1176" i="7"/>
  <c r="AT798" i="7"/>
  <c r="AT945" i="7"/>
  <c r="AT862" i="7"/>
  <c r="AT69" i="7"/>
  <c r="AT1020" i="7"/>
  <c r="AT1011" i="7"/>
  <c r="AT1142" i="7"/>
  <c r="AT1161" i="7"/>
  <c r="AT1150" i="7"/>
  <c r="AT1136" i="7"/>
  <c r="AT1190" i="7"/>
  <c r="AT967" i="7"/>
  <c r="AT1113" i="7"/>
  <c r="AT1168" i="7"/>
  <c r="AT1102" i="7"/>
  <c r="AT828" i="7"/>
  <c r="AT1097" i="7"/>
  <c r="AT980" i="7"/>
  <c r="AT948" i="7"/>
  <c r="AT896" i="7"/>
  <c r="AT1045" i="7"/>
  <c r="AT1098" i="7"/>
  <c r="AT1196" i="7"/>
  <c r="AT1145" i="7"/>
  <c r="AT1081" i="7"/>
  <c r="AT933" i="7"/>
  <c r="AT1070" i="7"/>
  <c r="AT1104" i="7"/>
  <c r="AT864" i="7"/>
  <c r="AT1127" i="7"/>
  <c r="AT807" i="7"/>
  <c r="AT303" i="7"/>
  <c r="AT211" i="7"/>
  <c r="AT259" i="7"/>
  <c r="AT714" i="7"/>
  <c r="AT526" i="7"/>
  <c r="AT693" i="7"/>
  <c r="AT173" i="7"/>
  <c r="AT583" i="7"/>
  <c r="AT696" i="7"/>
  <c r="AT463" i="7"/>
  <c r="AT793" i="7"/>
  <c r="AT829" i="7"/>
  <c r="AT861" i="7"/>
  <c r="AT894" i="7"/>
  <c r="AT922" i="7"/>
  <c r="AT954" i="7"/>
  <c r="AT985" i="7"/>
  <c r="AT1017" i="7"/>
  <c r="AT142" i="7"/>
  <c r="AT602" i="7"/>
  <c r="AT801" i="7"/>
  <c r="AT842" i="7"/>
  <c r="AT874" i="7"/>
  <c r="AT905" i="7"/>
  <c r="AT935" i="7"/>
  <c r="AT966" i="7"/>
  <c r="AT998" i="7"/>
  <c r="AT1030" i="7"/>
  <c r="AT522" i="7"/>
  <c r="AT753" i="7"/>
  <c r="AT815" i="7"/>
  <c r="AT839" i="7"/>
  <c r="AT859" i="7"/>
  <c r="AT880" i="7"/>
  <c r="AT902" i="7"/>
  <c r="AT808" i="7"/>
  <c r="AT876" i="7"/>
  <c r="AT921" i="7"/>
  <c r="AT953" i="7"/>
  <c r="AT984" i="7"/>
  <c r="AT1024" i="7"/>
  <c r="AT1051" i="7"/>
  <c r="AT1067" i="7"/>
  <c r="AT1083" i="7"/>
  <c r="AT1099" i="7"/>
  <c r="AT1115" i="7"/>
  <c r="AT1131" i="7"/>
  <c r="AT1147" i="7"/>
  <c r="AT1163" i="7"/>
  <c r="AT1178" i="7"/>
  <c r="AT1194" i="7"/>
  <c r="AT952" i="7"/>
  <c r="AT1043" i="7"/>
  <c r="AT1086" i="7"/>
  <c r="AT1126" i="7"/>
  <c r="AT1166" i="7"/>
  <c r="AT1197" i="7"/>
  <c r="AT836" i="7"/>
  <c r="AT897" i="7"/>
  <c r="AT932" i="7"/>
  <c r="AT963" i="7"/>
  <c r="AT995" i="7"/>
  <c r="AT1027" i="7"/>
  <c r="AT1060" i="7"/>
  <c r="AT1076" i="7"/>
  <c r="AT1096" i="7"/>
  <c r="AT1112" i="7"/>
  <c r="AT1128" i="7"/>
  <c r="AT1144" i="7"/>
  <c r="AT1160" i="7"/>
  <c r="AT1179" i="7"/>
  <c r="AT1195" i="7"/>
  <c r="AT920" i="7"/>
  <c r="AT1015" i="7"/>
  <c r="AT1106" i="7"/>
  <c r="AT1177" i="7"/>
  <c r="AT689" i="7"/>
  <c r="AT852" i="7"/>
  <c r="AT911" i="7"/>
  <c r="AT941" i="7"/>
  <c r="AT972" i="7"/>
  <c r="AT1004" i="7"/>
  <c r="AT1036" i="7"/>
  <c r="AT1061" i="7"/>
  <c r="AT1077" i="7"/>
  <c r="AT431" i="7"/>
  <c r="AT480" i="7"/>
  <c r="AT397" i="7"/>
  <c r="AT578" i="7"/>
  <c r="AT806" i="7"/>
  <c r="AT582" i="7"/>
  <c r="AT755" i="7"/>
  <c r="AT521" i="7"/>
  <c r="AT590" i="7"/>
  <c r="AT720" i="7"/>
  <c r="AT542" i="7"/>
  <c r="AT799" i="7"/>
  <c r="AT833" i="7"/>
  <c r="AT865" i="7"/>
  <c r="AT898" i="7"/>
  <c r="AT926" i="7"/>
  <c r="AT957" i="7"/>
  <c r="AT989" i="7"/>
  <c r="AT1021" i="7"/>
  <c r="AT212" i="7"/>
  <c r="AT616" i="7"/>
  <c r="AT805" i="7"/>
  <c r="AT846" i="7"/>
  <c r="AT879" i="7"/>
  <c r="AT909" i="7"/>
  <c r="AT939" i="7"/>
  <c r="AT970" i="7"/>
  <c r="AT1002" i="7"/>
  <c r="AT1034" i="7"/>
  <c r="AT557" i="7"/>
  <c r="AT777" i="7"/>
  <c r="AT823" i="7"/>
  <c r="AT843" i="7"/>
  <c r="AT863" i="7"/>
  <c r="AT888" i="7"/>
  <c r="AT906" i="7"/>
  <c r="AT832" i="7"/>
  <c r="AT893" i="7"/>
  <c r="AT929" i="7"/>
  <c r="AT960" i="7"/>
  <c r="AT992" i="7"/>
  <c r="AT1032" i="7"/>
  <c r="AT1055" i="7"/>
  <c r="AT1071" i="7"/>
  <c r="AT1087" i="7"/>
  <c r="AT1103" i="7"/>
  <c r="AT1119" i="7"/>
  <c r="AT1135" i="7"/>
  <c r="AT1151" i="7"/>
  <c r="AT1167" i="7"/>
  <c r="AT1182" i="7"/>
  <c r="AT856" i="7"/>
  <c r="AT975" i="7"/>
  <c r="AT1058" i="7"/>
  <c r="AT1094" i="7"/>
  <c r="AT1134" i="7"/>
  <c r="AT1173" i="7"/>
  <c r="AT532" i="7"/>
  <c r="AT848" i="7"/>
  <c r="AT910" i="7"/>
  <c r="AT940" i="7"/>
  <c r="AT971" i="7"/>
  <c r="AT1003" i="7"/>
  <c r="AT1039" i="7"/>
  <c r="AT1064" i="7"/>
  <c r="AT1084" i="7"/>
  <c r="AT1100" i="7"/>
  <c r="AT1116" i="7"/>
  <c r="AT1132" i="7"/>
  <c r="AT1148" i="7"/>
  <c r="AT1164" i="7"/>
  <c r="AT1183" i="7"/>
  <c r="AT22" i="7"/>
  <c r="AT936" i="7"/>
  <c r="AT1049" i="7"/>
  <c r="AT490" i="7"/>
  <c r="AT516" i="7"/>
  <c r="AT401" i="7"/>
  <c r="AT50" i="7"/>
  <c r="AT586" i="7"/>
  <c r="AT758" i="7"/>
  <c r="AT531" i="7"/>
  <c r="AT609" i="7"/>
  <c r="AT759" i="7"/>
  <c r="AT813" i="7"/>
  <c r="AT845" i="7"/>
  <c r="AT878" i="7"/>
  <c r="AT908" i="7"/>
  <c r="AT938" i="7"/>
  <c r="AT969" i="7"/>
  <c r="AT1000" i="7"/>
  <c r="AT1033" i="7"/>
  <c r="AT501" i="7"/>
  <c r="AT717" i="7"/>
  <c r="AT822" i="7"/>
  <c r="AT858" i="7"/>
  <c r="AT891" i="7"/>
  <c r="AT919" i="7"/>
  <c r="AT951" i="7"/>
  <c r="AT982" i="7"/>
  <c r="AT1014" i="7"/>
  <c r="AT1046" i="7"/>
  <c r="AT606" i="7"/>
  <c r="AT802" i="7"/>
  <c r="AT827" i="7"/>
  <c r="AT847" i="7"/>
  <c r="AT871" i="7"/>
  <c r="AT892" i="7"/>
  <c r="AT594" i="7"/>
  <c r="AT844" i="7"/>
  <c r="AT907" i="7"/>
  <c r="AT937" i="7"/>
  <c r="AT968" i="7"/>
  <c r="AT1038" i="7"/>
  <c r="AT1059" i="7"/>
  <c r="AT1075" i="7"/>
  <c r="AT1091" i="7"/>
  <c r="AT1123" i="7"/>
  <c r="AT1139" i="7"/>
  <c r="AT1155" i="7"/>
  <c r="AT1171" i="7"/>
  <c r="AT1186" i="7"/>
  <c r="AT914" i="7"/>
  <c r="AT999" i="7"/>
  <c r="AT1066" i="7"/>
  <c r="AT1130" i="7"/>
  <c r="AT1031" i="7"/>
  <c r="AT803" i="7"/>
  <c r="AT1157" i="7"/>
  <c r="AT1108" i="7"/>
  <c r="AT1053" i="7"/>
  <c r="AT964" i="7"/>
  <c r="AT868" i="7"/>
  <c r="AT983" i="7"/>
  <c r="AT1124" i="7"/>
  <c r="AT1092" i="7"/>
  <c r="AT987" i="7"/>
  <c r="AT924" i="7"/>
  <c r="AT820" i="7"/>
  <c r="AT1158" i="7"/>
  <c r="AT809" i="7"/>
  <c r="AT1174" i="7"/>
  <c r="AT1111" i="7"/>
  <c r="AT1044" i="7"/>
  <c r="AT915" i="7"/>
  <c r="AT875" i="7"/>
  <c r="AT687" i="7"/>
  <c r="AT955" i="7"/>
  <c r="AT826" i="7"/>
  <c r="AT1005" i="7"/>
  <c r="AT882" i="7"/>
  <c r="AT772" i="7"/>
  <c r="AT681" i="7"/>
  <c r="AT183" i="7"/>
  <c r="AT1090" i="7"/>
  <c r="AT944" i="7"/>
  <c r="AT1192" i="7"/>
  <c r="AT1141" i="7"/>
  <c r="AT1093" i="7"/>
  <c r="AT1073" i="7"/>
  <c r="AT1012" i="7"/>
  <c r="AT925" i="7"/>
  <c r="AT564" i="7"/>
  <c r="AT1138" i="7"/>
  <c r="AT1191" i="7"/>
  <c r="AT1156" i="7"/>
  <c r="AT1052" i="7"/>
  <c r="AT1162" i="7"/>
  <c r="AT1118" i="7"/>
  <c r="AT1078" i="7"/>
  <c r="AT1007" i="7"/>
  <c r="AT872" i="7"/>
  <c r="AT1188" i="7"/>
  <c r="AT1169" i="7"/>
  <c r="AT441" i="7"/>
  <c r="AT1137" i="7"/>
  <c r="AT1121" i="7"/>
  <c r="AT1105" i="7"/>
  <c r="AT1089" i="7"/>
  <c r="AT1069" i="7"/>
  <c r="AT1048" i="7"/>
  <c r="AT996" i="7"/>
  <c r="AT824" i="7"/>
  <c r="AT43" i="7"/>
  <c r="AT1122" i="7"/>
  <c r="AT959" i="7"/>
  <c r="AT1187" i="7"/>
  <c r="AT1152" i="7"/>
  <c r="AT1120" i="7"/>
  <c r="AT1088" i="7"/>
  <c r="AT1047" i="7"/>
  <c r="AT979" i="7"/>
  <c r="AT610" i="7"/>
  <c r="AT1146" i="7"/>
  <c r="AT1023" i="7"/>
  <c r="AT1159" i="7"/>
  <c r="AT1095" i="7"/>
  <c r="AT1008" i="7"/>
  <c r="AT860" i="7"/>
  <c r="AT855" i="7"/>
  <c r="AT1050" i="7"/>
  <c r="AT923" i="7"/>
  <c r="AT773" i="7"/>
  <c r="AT973" i="7"/>
  <c r="AT849" i="7"/>
  <c r="AT694" i="7"/>
  <c r="AT482" i="7"/>
  <c r="AT257" i="7"/>
  <c r="AT1125" i="7"/>
  <c r="AT1154" i="7"/>
  <c r="AT1110" i="7"/>
  <c r="AT1062" i="7"/>
  <c r="AT991" i="7"/>
  <c r="AT840" i="7"/>
  <c r="AT365" i="7"/>
  <c r="AT1184" i="7"/>
  <c r="AT1165" i="7"/>
  <c r="AT1149" i="7"/>
  <c r="AT1133" i="7"/>
  <c r="AT1117" i="7"/>
  <c r="AT1101" i="7"/>
  <c r="AT1085" i="7"/>
  <c r="AT1065" i="7"/>
  <c r="AT1028" i="7"/>
  <c r="AT988" i="7"/>
  <c r="AT949" i="7"/>
  <c r="AT500" i="7"/>
  <c r="AT812" i="7"/>
  <c r="AT1185" i="7"/>
  <c r="AT1082" i="7"/>
  <c r="AT889" i="7"/>
  <c r="AT1175" i="7"/>
  <c r="AT1140" i="7"/>
  <c r="AT1107" i="7"/>
  <c r="AT1072" i="7"/>
  <c r="AT1019" i="7"/>
  <c r="AT956" i="7"/>
  <c r="AT881" i="7"/>
  <c r="AT1193" i="7"/>
  <c r="AT1114" i="7"/>
  <c r="AT928" i="7"/>
  <c r="AT1143" i="7"/>
  <c r="AT1079" i="7"/>
  <c r="AT976" i="7"/>
  <c r="AT756" i="7"/>
  <c r="AT831" i="7"/>
  <c r="AT1018" i="7"/>
  <c r="AT895" i="7"/>
  <c r="AT553" i="7"/>
  <c r="AT942" i="7"/>
  <c r="AT817" i="7"/>
  <c r="AT567" i="7"/>
  <c r="AT710" i="7"/>
  <c r="AT508" i="7"/>
  <c r="AT63" i="7"/>
  <c r="AT341" i="7"/>
  <c r="AT502" i="7"/>
  <c r="AT148" i="7"/>
  <c r="AT311" i="7"/>
  <c r="AT426" i="7"/>
  <c r="AT28" i="7"/>
  <c r="AT145" i="7"/>
  <c r="AT258" i="7"/>
  <c r="AT339" i="7"/>
  <c r="AT420" i="7"/>
  <c r="AT530" i="7"/>
  <c r="AT305" i="7"/>
  <c r="AT554" i="7"/>
  <c r="AT607" i="7"/>
  <c r="AT690" i="7"/>
  <c r="AT754" i="7"/>
  <c r="AT786" i="7"/>
  <c r="AT220" i="7"/>
  <c r="AT430" i="7"/>
  <c r="AT539" i="7"/>
  <c r="AT570" i="7"/>
  <c r="AT592" i="7"/>
  <c r="AT612" i="7"/>
  <c r="AT695" i="7"/>
  <c r="AT715" i="7"/>
  <c r="AT775" i="7"/>
  <c r="AT29" i="7"/>
  <c r="AT184" i="7"/>
  <c r="AT407" i="7"/>
  <c r="AT540" i="7"/>
  <c r="AT576" i="7"/>
  <c r="AT593" i="7"/>
  <c r="AT704" i="7"/>
  <c r="AT752" i="7"/>
  <c r="AT776" i="7"/>
  <c r="AT568" i="7"/>
  <c r="AT781" i="7"/>
  <c r="AT804" i="7"/>
  <c r="AT358" i="7"/>
  <c r="AT837" i="7"/>
  <c r="AT853" i="7"/>
  <c r="AT869" i="7"/>
  <c r="AT886" i="7"/>
  <c r="AT900" i="7"/>
  <c r="AT916" i="7"/>
  <c r="AT930" i="7"/>
  <c r="AT946" i="7"/>
  <c r="AT961" i="7"/>
  <c r="AT978" i="7"/>
  <c r="AT993" i="7"/>
  <c r="AT1009" i="7"/>
  <c r="AT1025" i="7"/>
  <c r="AT31" i="7"/>
  <c r="AT301" i="7"/>
  <c r="AT572" i="7"/>
  <c r="AT683" i="7"/>
  <c r="AT790" i="7"/>
  <c r="AT810" i="7"/>
  <c r="AT830" i="7"/>
  <c r="AT850" i="7"/>
  <c r="AT866" i="7"/>
  <c r="AT883" i="7"/>
  <c r="AT899" i="7"/>
  <c r="AT913" i="7"/>
  <c r="AT927" i="7"/>
  <c r="AT943" i="7"/>
  <c r="AT958" i="7"/>
  <c r="AT974" i="7"/>
  <c r="AT990" i="7"/>
  <c r="AT1006" i="7"/>
  <c r="AT1022" i="7"/>
  <c r="AT1037" i="7"/>
  <c r="AT323" i="7"/>
  <c r="AT577" i="7"/>
  <c r="AT705" i="7"/>
  <c r="AT784" i="7"/>
  <c r="AT245" i="7"/>
  <c r="AT403" i="7"/>
  <c r="AT48" i="7"/>
  <c r="AT210" i="7"/>
  <c r="AT367" i="7"/>
  <c r="AT450" i="7"/>
  <c r="AT30" i="7"/>
  <c r="AT179" i="7"/>
  <c r="AT280" i="7"/>
  <c r="AT368" i="7"/>
  <c r="AT451" i="7"/>
  <c r="AT538" i="7"/>
  <c r="AT398" i="7"/>
  <c r="AT573" i="7"/>
  <c r="AT611" i="7"/>
  <c r="AT706" i="7"/>
  <c r="AT757" i="7"/>
  <c r="AT313" i="7"/>
  <c r="AT459" i="7"/>
  <c r="AT545" i="7"/>
  <c r="AT579" i="7"/>
  <c r="AT595" i="7"/>
  <c r="AT614" i="7"/>
  <c r="AT699" i="7"/>
  <c r="AT723" i="7"/>
  <c r="AT779" i="7"/>
  <c r="AT39" i="7"/>
  <c r="AT290" i="7"/>
  <c r="AT437" i="7"/>
  <c r="AT556" i="7"/>
  <c r="AT580" i="7"/>
  <c r="AT596" i="7"/>
  <c r="AT686" i="7"/>
  <c r="AT708" i="7"/>
  <c r="AT255" i="7"/>
  <c r="AT597" i="7"/>
  <c r="AT788" i="7"/>
  <c r="AT825" i="7"/>
  <c r="AT841" i="7"/>
  <c r="AT857" i="7"/>
  <c r="AT873" i="7"/>
  <c r="AT890" i="7"/>
  <c r="AT904" i="7"/>
  <c r="AT918" i="7"/>
  <c r="AT934" i="7"/>
  <c r="AT950" i="7"/>
  <c r="AT965" i="7"/>
  <c r="AT981" i="7"/>
  <c r="AT997" i="7"/>
  <c r="AT1013" i="7"/>
  <c r="AT1029" i="7"/>
  <c r="AT73" i="7"/>
  <c r="AT412" i="7"/>
  <c r="AT589" i="7"/>
  <c r="AT701" i="7"/>
  <c r="AT794" i="7"/>
  <c r="AT814" i="7"/>
  <c r="AT834" i="7"/>
  <c r="AT854" i="7"/>
  <c r="AT870" i="7"/>
  <c r="AT887" i="7"/>
  <c r="AT901" i="7"/>
  <c r="AT917" i="7"/>
  <c r="AT931" i="7"/>
  <c r="AT947" i="7"/>
  <c r="AT962" i="7"/>
  <c r="AT994" i="7"/>
  <c r="AT1010" i="7"/>
  <c r="AT1026" i="7"/>
  <c r="AT1042" i="7"/>
  <c r="AT591" i="7"/>
  <c r="AT721" i="7"/>
  <c r="AT797" i="7"/>
  <c r="AT819" i="7"/>
  <c r="AT835" i="7"/>
  <c r="AT851" i="7"/>
  <c r="AT867" i="7"/>
  <c r="AT884" i="7"/>
  <c r="AT499" i="7"/>
  <c r="AT709" i="7"/>
  <c r="AT381" i="7"/>
  <c r="AT796" i="7"/>
  <c r="AT711" i="7"/>
  <c r="AT608" i="7"/>
  <c r="AT566" i="7"/>
  <c r="AT377" i="7"/>
  <c r="AT778" i="7"/>
  <c r="AT688" i="7"/>
  <c r="AT525" i="7"/>
  <c r="AT485" i="7"/>
  <c r="AT326" i="7"/>
  <c r="AT65" i="7"/>
  <c r="AT395" i="7"/>
  <c r="AT144" i="7"/>
  <c r="AT320" i="7"/>
  <c r="AT712" i="7"/>
  <c r="AT605" i="7"/>
  <c r="AT563" i="7"/>
  <c r="AT319" i="7"/>
  <c r="AT783" i="7"/>
  <c r="AT707" i="7"/>
  <c r="AT599" i="7"/>
  <c r="AT560" i="7"/>
  <c r="AT340" i="7"/>
  <c r="AT774" i="7"/>
  <c r="AT680" i="7"/>
  <c r="AT514" i="7"/>
  <c r="AT457" i="7"/>
  <c r="AT304" i="7"/>
  <c r="AT61" i="7"/>
  <c r="AT373" i="7"/>
  <c r="AT60" i="7"/>
  <c r="AT252" i="7"/>
  <c r="AT70" i="7"/>
  <c r="AT45" i="7"/>
  <c r="AT460" i="7"/>
  <c r="AT382" i="7"/>
  <c r="AT316" i="7"/>
  <c r="AT217" i="7"/>
  <c r="AT178" i="7"/>
  <c r="AT44" i="7"/>
  <c r="AT46" i="7"/>
  <c r="AT484" i="7"/>
  <c r="AT419" i="7"/>
  <c r="AT325" i="7"/>
  <c r="AT438" i="7"/>
  <c r="AT378" i="7"/>
  <c r="AT287" i="7"/>
  <c r="AT170" i="7"/>
  <c r="AT47" i="7"/>
  <c r="AT139" i="7"/>
  <c r="AT221" i="7"/>
  <c r="AT294" i="7"/>
  <c r="AT356" i="7"/>
  <c r="AT409" i="7"/>
  <c r="AT473" i="7"/>
  <c r="AT33" i="7"/>
  <c r="AT64" i="7"/>
  <c r="AT182" i="7"/>
  <c r="AT214" i="7"/>
  <c r="AT279" i="7"/>
  <c r="AT338" i="7"/>
  <c r="AT400" i="7"/>
  <c r="AT456" i="7"/>
  <c r="AT523" i="7"/>
  <c r="AT49" i="7"/>
  <c r="AT168" i="7"/>
  <c r="AT312" i="7"/>
  <c r="AT376" i="7"/>
  <c r="AT429" i="7"/>
  <c r="AT492" i="7"/>
  <c r="AT62" i="7"/>
  <c r="AT421" i="7"/>
  <c r="AT559" i="7"/>
  <c r="AT698" i="7"/>
  <c r="AT722" i="7"/>
  <c r="AT1063" i="7"/>
  <c r="AT169" i="7"/>
  <c r="AT281" i="7"/>
  <c r="AT402" i="7"/>
  <c r="AT515" i="7"/>
  <c r="AT555" i="7"/>
  <c r="AT574" i="7"/>
  <c r="AT604" i="7"/>
  <c r="AT685" i="7"/>
  <c r="AT703" i="7"/>
  <c r="AT719" i="7"/>
  <c r="AT751" i="7"/>
  <c r="AT787" i="7"/>
  <c r="AT54" i="7"/>
  <c r="AT138" i="7"/>
  <c r="AT355" i="7"/>
  <c r="AT489" i="7"/>
  <c r="AT546" i="7"/>
  <c r="AT571" i="7"/>
  <c r="AT587" i="7"/>
  <c r="AT601" i="7"/>
  <c r="AT615" i="7"/>
  <c r="AT682" i="7"/>
  <c r="AT700" i="7"/>
  <c r="AT716" i="7"/>
  <c r="AT58" i="7"/>
  <c r="AT385" i="7"/>
  <c r="AT584" i="7"/>
  <c r="AT32" i="7"/>
  <c r="AT55" i="7"/>
  <c r="AT143" i="7"/>
  <c r="AT181" i="7"/>
  <c r="AT209" i="7"/>
  <c r="AT256" i="7"/>
  <c r="AT302" i="7"/>
  <c r="AT324" i="7"/>
  <c r="AT366" i="7"/>
  <c r="AT394" i="7"/>
  <c r="AT418" i="7"/>
  <c r="AT444" i="7"/>
  <c r="AT479" i="7"/>
  <c r="AT23" i="7"/>
  <c r="AT37" i="7"/>
  <c r="AT52" i="7"/>
  <c r="AT67" i="7"/>
  <c r="AT136" i="7"/>
  <c r="AT171" i="7"/>
  <c r="AT218" i="7"/>
  <c r="AT246" i="7"/>
  <c r="AT288" i="7"/>
  <c r="AT317" i="7"/>
  <c r="AT342" i="7"/>
  <c r="AT379" i="7"/>
  <c r="AT404" i="7"/>
  <c r="AT435" i="7"/>
  <c r="AT461" i="7"/>
  <c r="AT491" i="7"/>
  <c r="AT527" i="7"/>
  <c r="AT34" i="7"/>
  <c r="AT53" i="7"/>
  <c r="AT68" i="7"/>
  <c r="AT137" i="7"/>
  <c r="AT172" i="7"/>
  <c r="AT215" i="7"/>
  <c r="AT243" i="7"/>
  <c r="AT289" i="7"/>
  <c r="AT318" i="7"/>
  <c r="AT354" i="7"/>
  <c r="AT380" i="7"/>
  <c r="AT406" i="7"/>
  <c r="AT436" i="7"/>
  <c r="AT475" i="7"/>
  <c r="AT520" i="7"/>
  <c r="AT543" i="7"/>
  <c r="AT146" i="7"/>
  <c r="AT216" i="7"/>
  <c r="AT336" i="7"/>
  <c r="AT452" i="7"/>
  <c r="AT537" i="7"/>
  <c r="AT565" i="7"/>
  <c r="AT581" i="7"/>
  <c r="AT598" i="7"/>
  <c r="AT613" i="7"/>
  <c r="AT40" i="7"/>
  <c r="AT59" i="7"/>
  <c r="AT147" i="7"/>
  <c r="AT213" i="7"/>
  <c r="AT260" i="7"/>
  <c r="AT310" i="7"/>
  <c r="AT337" i="7"/>
  <c r="AT372" i="7"/>
  <c r="AT399" i="7"/>
  <c r="AT425" i="7"/>
  <c r="AT453" i="7"/>
  <c r="AT483" i="7"/>
  <c r="AT27" i="7"/>
  <c r="AT41" i="7"/>
  <c r="AT56" i="7"/>
  <c r="AT71" i="7"/>
  <c r="AT140" i="7"/>
  <c r="AT175" i="7"/>
  <c r="AT253" i="7"/>
  <c r="AT295" i="7"/>
  <c r="AT321" i="7"/>
  <c r="AT361" i="7"/>
  <c r="AT383" i="7"/>
  <c r="AT410" i="7"/>
  <c r="AT442" i="7"/>
  <c r="AT474" i="7"/>
  <c r="AT503" i="7"/>
  <c r="AT24" i="7"/>
  <c r="AT42" i="7"/>
  <c r="AT57" i="7"/>
  <c r="AT72" i="7"/>
  <c r="AT141" i="7"/>
  <c r="AT176" i="7"/>
  <c r="AT219" i="7"/>
  <c r="AT250" i="7"/>
  <c r="AT296" i="7"/>
  <c r="AT322" i="7"/>
  <c r="AT362" i="7"/>
  <c r="AT384" i="7"/>
  <c r="AT411" i="7"/>
  <c r="AT443" i="7"/>
  <c r="AT481" i="7"/>
  <c r="AT524" i="7"/>
  <c r="AT35" i="7"/>
  <c r="AT177" i="7"/>
  <c r="AT244" i="7"/>
  <c r="AT369" i="7"/>
  <c r="AT476" i="7"/>
  <c r="AT544" i="7"/>
  <c r="AT569" i="7"/>
  <c r="AT585" i="7"/>
  <c r="AT603" i="7"/>
  <c r="AT684" i="7"/>
  <c r="AT702" i="7"/>
  <c r="AT718" i="7"/>
  <c r="AT795" i="7"/>
  <c r="AT25" i="7"/>
  <c r="AT180" i="7"/>
  <c r="AT251" i="7"/>
  <c r="AT135" i="7"/>
  <c r="AT66" i="7"/>
  <c r="AT51" i="7"/>
  <c r="AT36" i="7"/>
  <c r="AT26" i="7"/>
  <c r="B13" i="8" l="1"/>
  <c r="B929" i="7"/>
  <c r="B567" i="7"/>
  <c r="B22" i="7"/>
  <c r="AE26" i="8" l="1"/>
  <c r="AE55" i="8"/>
  <c r="AE53" i="8" s="1"/>
  <c r="AE31" i="8"/>
  <c r="AE18" i="8"/>
  <c r="AE52" i="8"/>
  <c r="AE50" i="8"/>
  <c r="AE46" i="8"/>
  <c r="AE45" i="8"/>
  <c r="AE44" i="8"/>
  <c r="AE42" i="8"/>
  <c r="AE40" i="8"/>
  <c r="AE38" i="8"/>
  <c r="AE37" i="8"/>
  <c r="AE34" i="8"/>
  <c r="AE33" i="8"/>
  <c r="AE30" i="8"/>
  <c r="AE28" i="8"/>
  <c r="AE24" i="8"/>
  <c r="AE17" i="8"/>
  <c r="AE16" i="8"/>
  <c r="AE15" i="8"/>
  <c r="AE13" i="8"/>
  <c r="AE14" i="8" l="1"/>
  <c r="AC1064" i="7"/>
  <c r="AC927" i="7" s="1"/>
  <c r="D1064" i="7" l="1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F26" i="8"/>
  <c r="F25" i="8" s="1"/>
  <c r="E25" i="8"/>
  <c r="G12" i="8" l="1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D928" i="7" l="1"/>
  <c r="D927" i="7" l="1"/>
  <c r="D565" i="7"/>
  <c r="K54" i="9"/>
  <c r="K52" i="9" s="1"/>
  <c r="K51" i="9"/>
  <c r="K49" i="9"/>
  <c r="K47" i="9"/>
  <c r="K45" i="9"/>
  <c r="K44" i="9"/>
  <c r="K43" i="9"/>
  <c r="K41" i="9"/>
  <c r="K39" i="9"/>
  <c r="K37" i="9"/>
  <c r="K36" i="9"/>
  <c r="K35" i="9"/>
  <c r="K32" i="9"/>
  <c r="K30" i="9"/>
  <c r="K29" i="9"/>
  <c r="K27" i="9"/>
  <c r="K23" i="9"/>
  <c r="K17" i="9"/>
  <c r="K16" i="9"/>
  <c r="K15" i="9"/>
  <c r="K14" i="9"/>
  <c r="K12" i="9"/>
  <c r="K11" i="9" s="1"/>
  <c r="K13" i="9" l="1"/>
  <c r="K28" i="9"/>
  <c r="K42" i="9"/>
  <c r="J56" i="9"/>
  <c r="K56" i="9"/>
  <c r="L56" i="9"/>
  <c r="I56" i="9"/>
  <c r="P56" i="9" s="1"/>
  <c r="J50" i="9"/>
  <c r="K50" i="9"/>
  <c r="L50" i="9"/>
  <c r="I50" i="9"/>
  <c r="P50" i="9" s="1"/>
  <c r="J48" i="9"/>
  <c r="K48" i="9"/>
  <c r="L48" i="9"/>
  <c r="I48" i="9"/>
  <c r="P48" i="9" s="1"/>
  <c r="J46" i="9"/>
  <c r="K46" i="9"/>
  <c r="L46" i="9"/>
  <c r="I46" i="9"/>
  <c r="P46" i="9" s="1"/>
  <c r="J40" i="9"/>
  <c r="K40" i="9"/>
  <c r="L40" i="9"/>
  <c r="I40" i="9"/>
  <c r="P40" i="9" s="1"/>
  <c r="J38" i="9"/>
  <c r="K38" i="9"/>
  <c r="L38" i="9"/>
  <c r="I38" i="9"/>
  <c r="P38" i="9" s="1"/>
  <c r="J34" i="9"/>
  <c r="K34" i="9"/>
  <c r="L34" i="9"/>
  <c r="I34" i="9"/>
  <c r="P34" i="9" s="1"/>
  <c r="J31" i="9"/>
  <c r="K31" i="9"/>
  <c r="L31" i="9"/>
  <c r="I31" i="9"/>
  <c r="P31" i="9" s="1"/>
  <c r="J26" i="9"/>
  <c r="K26" i="9"/>
  <c r="L26" i="9"/>
  <c r="I26" i="9"/>
  <c r="P26" i="9" s="1"/>
  <c r="J22" i="9"/>
  <c r="J10" i="9" s="1"/>
  <c r="K22" i="9"/>
  <c r="L22" i="9"/>
  <c r="I22" i="9"/>
  <c r="P22" i="9" s="1"/>
  <c r="I10" i="9" l="1"/>
  <c r="P10" i="9" s="1"/>
  <c r="L10" i="9"/>
  <c r="K10" i="9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E39" i="8"/>
  <c r="E35" i="8" s="1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G32" i="8"/>
  <c r="H32" i="8"/>
  <c r="I32" i="8"/>
  <c r="J32" i="8"/>
  <c r="K32" i="8"/>
  <c r="L32" i="8"/>
  <c r="M32" i="8"/>
  <c r="N32" i="8"/>
  <c r="O32" i="8"/>
  <c r="P32" i="8"/>
  <c r="Q32" i="8"/>
  <c r="R32" i="8"/>
  <c r="S32" i="8"/>
  <c r="T32" i="8"/>
  <c r="U32" i="8"/>
  <c r="V32" i="8"/>
  <c r="W32" i="8"/>
  <c r="X32" i="8"/>
  <c r="Y32" i="8"/>
  <c r="Z32" i="8"/>
  <c r="AA32" i="8"/>
  <c r="AB32" i="8"/>
  <c r="AC32" i="8"/>
  <c r="AD32" i="8"/>
  <c r="AE32" i="8"/>
  <c r="AF32" i="8"/>
  <c r="AG32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G47" i="8"/>
  <c r="H47" i="8"/>
  <c r="I47" i="8"/>
  <c r="J47" i="8"/>
  <c r="K47" i="8"/>
  <c r="L47" i="8"/>
  <c r="M47" i="8"/>
  <c r="N47" i="8"/>
  <c r="O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E43" i="8"/>
  <c r="E57" i="8"/>
  <c r="E51" i="8"/>
  <c r="E47" i="8"/>
  <c r="E49" i="8"/>
  <c r="E41" i="8"/>
  <c r="E32" i="8"/>
  <c r="E29" i="8"/>
  <c r="E27" i="8"/>
  <c r="E23" i="8"/>
  <c r="E12" i="8"/>
  <c r="F15" i="8"/>
  <c r="F16" i="8"/>
  <c r="F17" i="8"/>
  <c r="F18" i="8"/>
  <c r="F24" i="8"/>
  <c r="F23" i="8" s="1"/>
  <c r="F28" i="8"/>
  <c r="F27" i="8" s="1"/>
  <c r="F30" i="8"/>
  <c r="F31" i="8"/>
  <c r="F33" i="8"/>
  <c r="F34" i="8"/>
  <c r="F36" i="8"/>
  <c r="F37" i="8"/>
  <c r="F38" i="8"/>
  <c r="F40" i="8"/>
  <c r="F39" i="8" s="1"/>
  <c r="F42" i="8"/>
  <c r="F41" i="8" s="1"/>
  <c r="F44" i="8"/>
  <c r="F45" i="8"/>
  <c r="F46" i="8"/>
  <c r="F50" i="8"/>
  <c r="F49" i="8" s="1"/>
  <c r="F52" i="8"/>
  <c r="F51" i="8" s="1"/>
  <c r="F57" i="8"/>
  <c r="F13" i="8"/>
  <c r="F12" i="8" s="1"/>
  <c r="F14" i="8" l="1"/>
  <c r="AD11" i="8"/>
  <c r="Z11" i="8"/>
  <c r="V11" i="8"/>
  <c r="R11" i="8"/>
  <c r="N11" i="8"/>
  <c r="J11" i="8"/>
  <c r="Y11" i="8"/>
  <c r="Q11" i="8"/>
  <c r="I11" i="8"/>
  <c r="AG11" i="8"/>
  <c r="U11" i="8"/>
  <c r="M11" i="8"/>
  <c r="AF11" i="8"/>
  <c r="AB11" i="8"/>
  <c r="X11" i="8"/>
  <c r="T11" i="8"/>
  <c r="L11" i="8"/>
  <c r="H11" i="8"/>
  <c r="AC11" i="8"/>
  <c r="AE11" i="8"/>
  <c r="AA11" i="8"/>
  <c r="W11" i="8"/>
  <c r="S11" i="8"/>
  <c r="O11" i="8"/>
  <c r="K11" i="8"/>
  <c r="G11" i="8"/>
  <c r="F35" i="8"/>
  <c r="E11" i="8"/>
  <c r="F43" i="8"/>
  <c r="F29" i="8"/>
  <c r="F32" i="8"/>
  <c r="P55" i="8"/>
  <c r="P53" i="8" s="1"/>
  <c r="F48" i="8" l="1"/>
  <c r="F47" i="8" s="1"/>
  <c r="P47" i="8"/>
  <c r="P11" i="8" s="1"/>
  <c r="F55" i="8"/>
  <c r="F53" i="8" s="1"/>
  <c r="F11" i="8" l="1"/>
  <c r="E136" i="5"/>
  <c r="F136" i="5"/>
  <c r="F10" i="5" l="1"/>
  <c r="C10" i="5"/>
  <c r="D10" i="5"/>
  <c r="E10" i="5" l="1"/>
  <c r="C9" i="4" l="1"/>
  <c r="C16" i="4"/>
  <c r="C23" i="4"/>
  <c r="AC403" i="7"/>
  <c r="AC401" i="7" s="1"/>
  <c r="R19" i="7"/>
  <c r="AC20" i="7" l="1"/>
  <c r="AC19" i="7" s="1"/>
  <c r="D403" i="7"/>
  <c r="D401" i="7" l="1"/>
  <c r="CB250" i="7" l="1"/>
  <c r="CD401" i="7"/>
  <c r="I559" i="3"/>
  <c r="T893" i="3"/>
  <c r="T244" i="3" l="1"/>
  <c r="T436" i="3"/>
  <c r="T559" i="3"/>
  <c r="L559" i="3"/>
  <c r="J559" i="3"/>
  <c r="K559" i="3"/>
  <c r="U559" i="3"/>
  <c r="U14" i="3" l="1"/>
  <c r="U13" i="3" s="1"/>
  <c r="L14" i="3"/>
  <c r="L13" i="3" s="1"/>
  <c r="T129" i="3"/>
  <c r="I14" i="3"/>
  <c r="K14" i="3"/>
  <c r="K13" i="3" s="1"/>
  <c r="J14" i="3"/>
  <c r="J13" i="3" s="1"/>
  <c r="CB135" i="7"/>
  <c r="D20" i="7"/>
  <c r="D19" i="7" s="1"/>
  <c r="T14" i="3" l="1"/>
  <c r="I13" i="3"/>
  <c r="T13" i="3" s="1"/>
</calcChain>
</file>

<file path=xl/sharedStrings.xml><?xml version="1.0" encoding="utf-8"?>
<sst xmlns="http://schemas.openxmlformats.org/spreadsheetml/2006/main" count="11386" uniqueCount="1708">
  <si>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</si>
  <si>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</si>
  <si>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</si>
  <si>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</si>
  <si>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</si>
  <si>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</si>
  <si>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</si>
  <si>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</si>
  <si>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</si>
  <si>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</si>
  <si>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</si>
  <si>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</si>
  <si>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</si>
  <si>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</si>
  <si>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</si>
  <si>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</si>
  <si>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</si>
  <si>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</si>
  <si>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</si>
  <si>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</si>
  <si>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</si>
  <si>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</si>
  <si>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</si>
  <si>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</si>
  <si>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</si>
  <si>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</si>
  <si>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</si>
  <si>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</si>
  <si>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</si>
  <si>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</si>
  <si>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</si>
  <si>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</si>
  <si>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</si>
  <si>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</si>
  <si>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</si>
  <si>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</si>
  <si>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</si>
  <si>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</si>
  <si>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</si>
  <si>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</si>
  <si>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</si>
  <si>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</si>
  <si>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</si>
  <si>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</si>
  <si>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</si>
  <si>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</si>
  <si>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</si>
  <si>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</si>
  <si>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</si>
  <si>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</si>
  <si>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</si>
  <si>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</si>
  <si>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</si>
  <si>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</si>
  <si>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</si>
  <si>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</si>
  <si>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</si>
  <si>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</si>
  <si>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</si>
  <si>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</si>
  <si>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</si>
  <si>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</si>
  <si>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</si>
  <si>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</si>
  <si>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</si>
  <si>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</si>
  <si>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</si>
  <si>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</si>
  <si>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</si>
  <si>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</si>
  <si>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</si>
  <si>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</si>
  <si>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</si>
  <si>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</si>
  <si>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</si>
  <si>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</si>
  <si>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</si>
  <si>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</si>
  <si>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</si>
  <si>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</si>
  <si>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</si>
  <si>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</si>
  <si>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</si>
  <si>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</si>
  <si>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</si>
  <si>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</si>
  <si>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</si>
  <si>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</si>
  <si>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</si>
  <si>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</si>
  <si>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</si>
  <si>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</si>
  <si>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</si>
  <si>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</si>
  <si>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</si>
  <si>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</si>
  <si>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</si>
  <si>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</si>
  <si>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</si>
  <si>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</si>
  <si>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</si>
  <si>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</si>
  <si>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</si>
  <si>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</si>
  <si>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</si>
  <si>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</si>
  <si>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</si>
  <si>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</si>
  <si>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</si>
  <si>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</si>
  <si>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</si>
  <si>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</si>
  <si>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</si>
  <si>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</si>
  <si>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</si>
  <si>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</si>
  <si>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</si>
  <si>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</si>
  <si>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</si>
  <si>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</si>
  <si>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</si>
  <si>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</si>
  <si>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</si>
  <si>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</si>
  <si>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</si>
  <si>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</si>
  <si>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</si>
  <si>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</si>
  <si>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</si>
  <si>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</si>
  <si>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</si>
  <si>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</si>
  <si>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</si>
  <si>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</si>
  <si>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</si>
  <si>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</si>
  <si>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</si>
  <si>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</si>
  <si>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</si>
  <si>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</si>
  <si>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</si>
  <si>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</si>
  <si>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</si>
  <si>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</si>
  <si>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</si>
  <si>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</si>
  <si>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</si>
  <si>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</si>
  <si>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</si>
  <si>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</si>
  <si>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</si>
  <si>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</si>
  <si>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</si>
  <si>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</si>
  <si>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</si>
  <si>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</si>
  <si>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</si>
  <si>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</si>
  <si>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</si>
  <si>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</si>
  <si>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</si>
  <si>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</si>
  <si>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</si>
  <si>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</si>
  <si>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</si>
  <si>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</si>
  <si>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</si>
  <si>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</si>
  <si>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</si>
  <si>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</si>
  <si>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</si>
  <si>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</si>
  <si>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</si>
  <si>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</si>
  <si>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</si>
  <si>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</si>
  <si>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</si>
  <si>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</si>
  <si>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</si>
  <si>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</si>
  <si>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</si>
  <si>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</si>
  <si>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</si>
  <si>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</si>
  <si>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</si>
  <si>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</si>
  <si>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</si>
  <si>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</si>
  <si>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</si>
  <si>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</si>
  <si>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</si>
  <si>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</si>
  <si>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</si>
  <si>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</si>
  <si>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</si>
  <si>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</si>
  <si>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</si>
  <si>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</si>
  <si>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</si>
  <si>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</si>
  <si>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</si>
  <si>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</si>
  <si>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</si>
  <si>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</si>
  <si>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</si>
  <si>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</si>
  <si>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</si>
  <si>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</si>
  <si>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</si>
  <si>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</si>
  <si>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</si>
  <si>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</si>
  <si>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</si>
  <si>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</si>
  <si>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</si>
  <si>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</si>
  <si>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</si>
  <si>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</si>
  <si>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</si>
  <si>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</si>
  <si>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</si>
  <si>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</si>
  <si>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</si>
  <si>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</si>
  <si>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</si>
  <si>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</si>
  <si>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</si>
  <si>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</si>
  <si>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</si>
  <si>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</si>
  <si>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</si>
  <si>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</si>
  <si>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</si>
  <si>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</si>
  <si>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</si>
  <si>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</si>
  <si>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</si>
  <si>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</si>
  <si>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</si>
  <si>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</si>
  <si>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</si>
  <si>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</si>
  <si>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</si>
  <si>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</si>
  <si>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</si>
  <si>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</si>
  <si>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</si>
  <si>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</si>
  <si>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</si>
  <si>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</si>
  <si>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</si>
  <si>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</si>
  <si>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</si>
  <si>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</si>
  <si>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</si>
  <si>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</si>
  <si>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</si>
  <si>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</si>
  <si>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</si>
  <si>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</si>
  <si>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</si>
  <si>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</si>
  <si>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</si>
  <si>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</si>
  <si>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</si>
  <si>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</si>
  <si>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</si>
  <si>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</si>
  <si>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</si>
  <si>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</si>
  <si>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</si>
  <si>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</si>
  <si>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</si>
  <si>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</si>
  <si>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</si>
  <si>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</si>
  <si>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</si>
  <si>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</si>
  <si>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</si>
  <si>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</si>
  <si>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</si>
  <si>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</si>
  <si>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</si>
  <si>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</si>
  <si>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</si>
  <si>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</si>
  <si>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</si>
  <si>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</si>
  <si>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</si>
  <si>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</si>
  <si>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</si>
  <si>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</si>
  <si>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</si>
  <si>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</si>
  <si>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</si>
  <si>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</si>
  <si>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</si>
  <si>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</si>
  <si>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</si>
  <si>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</si>
  <si>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</si>
  <si>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</si>
  <si>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</si>
  <si>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</si>
  <si>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</si>
  <si>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</si>
  <si>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</si>
  <si>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</si>
  <si>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</si>
  <si>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</si>
  <si>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</si>
  <si>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</si>
  <si>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</si>
  <si>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</si>
  <si>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</si>
  <si>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</si>
  <si>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</si>
  <si>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</si>
  <si>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</si>
  <si>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</si>
  <si>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</si>
  <si>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</si>
  <si>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</si>
  <si>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</si>
  <si>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</si>
  <si>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</si>
  <si>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</si>
  <si>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</si>
  <si>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</si>
  <si>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</si>
  <si>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</si>
  <si>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</si>
  <si>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</si>
  <si>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</si>
  <si>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</si>
  <si>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</si>
  <si>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</si>
  <si>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</si>
  <si>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</si>
  <si>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</si>
  <si>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</si>
  <si>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</si>
  <si>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</si>
  <si>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</si>
  <si>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</si>
  <si>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</si>
  <si>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</si>
  <si>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</si>
  <si>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</si>
  <si>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</si>
  <si>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 xml:space="preserve"> " Коммунистическая-2"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</si>
  <si>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</si>
  <si>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</si>
  <si>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</si>
  <si>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</si>
  <si>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</si>
  <si>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</si>
  <si>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</si>
  <si>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</si>
  <si>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</si>
  <si>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</si>
  <si>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</si>
  <si>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</si>
  <si>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</si>
  <si>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</si>
  <si>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</si>
  <si>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</si>
  <si>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</si>
  <si>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</si>
  <si>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</si>
  <si>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</si>
  <si>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</si>
  <si>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</si>
  <si>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</si>
  <si>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</si>
  <si>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2007</t>
  </si>
  <si>
    <t>10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</si>
  <si>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</si>
  <si>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</si>
  <si>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</si>
  <si>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</si>
  <si>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</si>
  <si>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</si>
  <si>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</si>
  <si>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</si>
  <si>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</si>
  <si>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</si>
  <si>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</si>
  <si>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</si>
  <si>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1988</t>
  </si>
  <si>
    <t>1973</t>
  </si>
  <si>
    <t>1963</t>
  </si>
  <si>
    <t>1965</t>
  </si>
  <si>
    <t>ТСН Сущевская-7</t>
  </si>
  <si>
    <t>1991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</si>
  <si>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</si>
  <si>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</si>
  <si>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</si>
  <si>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</si>
  <si>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</si>
  <si>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</si>
  <si>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</si>
  <si>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</si>
  <si>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</si>
  <si>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</si>
  <si>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</si>
  <si>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</si>
  <si>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</si>
  <si>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</si>
  <si>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</si>
  <si>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</si>
  <si>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</si>
  <si>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</si>
  <si>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</si>
  <si>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</si>
  <si>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</si>
  <si>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</si>
  <si>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</si>
  <si>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</si>
  <si>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</si>
  <si>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</si>
  <si>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</si>
  <si>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</si>
  <si>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</si>
  <si>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</si>
  <si>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</si>
  <si>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</si>
  <si>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</si>
  <si>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</si>
  <si>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</si>
  <si>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</si>
  <si>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</si>
  <si>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</si>
  <si>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</si>
  <si>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</si>
  <si>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</si>
  <si>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</si>
  <si>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</si>
  <si>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</si>
  <si>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</si>
  <si>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</si>
  <si>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</si>
  <si>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</si>
  <si>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</si>
  <si>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</si>
  <si>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</si>
  <si>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</si>
  <si>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</si>
  <si>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</si>
  <si>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</si>
  <si>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</si>
  <si>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</si>
  <si>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</si>
  <si>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</si>
  <si>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</si>
  <si>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</si>
  <si>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</si>
  <si>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</si>
  <si>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</si>
  <si>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</si>
  <si>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</si>
  <si>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</si>
  <si>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</si>
  <si>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</si>
  <si>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</si>
  <si>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</si>
  <si>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</si>
  <si>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</si>
  <si>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</si>
  <si>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</si>
  <si>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</si>
  <si>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</si>
  <si>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</si>
  <si>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Коммунистическая ул, 2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</si>
  <si>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</si>
  <si>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</si>
  <si>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</si>
  <si>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</si>
  <si>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</si>
  <si>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</si>
  <si>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</si>
  <si>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</si>
  <si>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</si>
  <si>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</si>
  <si>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</si>
  <si>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</si>
  <si>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</si>
  <si>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</si>
  <si>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</si>
  <si>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</si>
  <si>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</si>
  <si>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</si>
  <si>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</si>
  <si>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</si>
  <si>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</si>
  <si>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</si>
  <si>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</si>
  <si>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</si>
  <si>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</si>
  <si>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</si>
  <si>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</si>
  <si>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</si>
  <si>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</si>
  <si>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</si>
  <si>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</si>
  <si>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</si>
  <si>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</si>
  <si>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</si>
  <si>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</si>
  <si>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</si>
  <si>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</si>
  <si>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</si>
  <si>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</si>
  <si>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</si>
  <si>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</si>
  <si>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</si>
  <si>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</si>
  <si>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</si>
  <si>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</si>
  <si>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</si>
  <si>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Перекопский городок, 20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</si>
  <si>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</si>
  <si>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</si>
  <si>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</si>
  <si>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</si>
  <si>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</si>
  <si>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</si>
  <si>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</si>
  <si>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</si>
  <si>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</si>
  <si>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</si>
  <si>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</si>
  <si>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</si>
  <si>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</si>
  <si>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</si>
  <si>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</si>
  <si>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</si>
  <si>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</si>
  <si>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</si>
  <si>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</si>
  <si>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</si>
  <si>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</si>
  <si>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</si>
  <si>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</si>
  <si>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</si>
  <si>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</si>
  <si>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</si>
  <si>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</si>
  <si>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</si>
  <si>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</si>
  <si>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</si>
  <si>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</si>
  <si>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</si>
  <si>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</si>
  <si>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</si>
  <si>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</si>
  <si>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</si>
  <si>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</si>
  <si>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</si>
  <si>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</si>
  <si>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</si>
  <si>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</si>
  <si>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</si>
  <si>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</si>
  <si>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</si>
  <si>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</si>
  <si>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</si>
  <si>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</si>
  <si>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</si>
  <si>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</si>
  <si>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</si>
  <si>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</si>
  <si>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</si>
  <si>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</si>
  <si>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Перекопский городок, 10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</si>
  <si>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</si>
  <si>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</si>
  <si>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</si>
  <si>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</si>
  <si>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</si>
  <si>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</si>
  <si>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Соколова-Соколенка ул, 11б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</si>
  <si>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</si>
  <si>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</si>
  <si>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</si>
  <si>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</si>
  <si>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</si>
  <si>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</si>
  <si>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</si>
  <si>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</si>
  <si>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</si>
  <si>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</si>
  <si>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</si>
  <si>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</si>
  <si>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</si>
  <si>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</si>
  <si>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</si>
  <si>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</si>
  <si>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</si>
  <si>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Диктора Левитана ул, 42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</si>
  <si>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</si>
  <si>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</si>
  <si>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</si>
  <si>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</si>
  <si>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</si>
  <si>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</si>
  <si>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</si>
  <si>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</si>
  <si>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</si>
  <si>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</si>
  <si>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</si>
  <si>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</si>
  <si>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137</t>
  </si>
  <si>
    <t>Владимир г, Лакина ул, 153</t>
  </si>
  <si>
    <t>Владимир г, Ленина пр-кт, 35Б</t>
  </si>
  <si>
    <t>Владимир г, Ленина пр-кт, 67Б</t>
  </si>
  <si>
    <t>Владимир г, Лесной мкр, Лесная ул, 12</t>
  </si>
  <si>
    <t>Владимир г, Лесной мкр, Лесная ул, 13</t>
  </si>
  <si>
    <t>Владимир г, Ново-Ямская ул, 17А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</si>
  <si>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</si>
  <si>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</si>
  <si>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</si>
  <si>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</si>
  <si>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</si>
  <si>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</si>
  <si>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</si>
  <si>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</si>
  <si>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</si>
  <si>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</si>
  <si>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</si>
  <si>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</si>
  <si>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</si>
  <si>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</si>
  <si>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</si>
  <si>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</si>
  <si>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</si>
  <si>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</si>
  <si>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</si>
  <si>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Сущевская ул, 7</t>
  </si>
  <si>
    <t>Владимир г, Фатьянова ул, 24</t>
  </si>
  <si>
    <t>Владимир г, Энергетик мкр, Энергетиков ул, 6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</si>
  <si>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</si>
  <si>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</si>
  <si>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</si>
  <si>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</si>
  <si>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</si>
  <si>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</si>
  <si>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</si>
  <si>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</si>
  <si>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</si>
  <si>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</si>
  <si>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</si>
  <si>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</si>
  <si>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</si>
  <si>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</si>
  <si>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</si>
  <si>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</si>
  <si>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</si>
  <si>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</si>
  <si>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</si>
  <si>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</si>
  <si>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</si>
  <si>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</si>
  <si>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</si>
  <si>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</si>
  <si>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</si>
  <si>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</si>
  <si>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</si>
  <si>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</si>
  <si>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</si>
  <si>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</si>
  <si>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</si>
  <si>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</si>
  <si>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</si>
  <si>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</si>
  <si>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</si>
  <si>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</si>
  <si>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</si>
  <si>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</si>
  <si>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</si>
  <si>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</si>
  <si>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</si>
  <si>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</si>
  <si>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</si>
  <si>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</si>
  <si>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</si>
  <si>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</si>
  <si>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</si>
  <si>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</si>
  <si>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</si>
  <si>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</si>
  <si>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</si>
  <si>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</si>
  <si>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</si>
  <si>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</si>
  <si>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</si>
  <si>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</si>
  <si>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</si>
  <si>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</si>
  <si>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</si>
  <si>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</si>
  <si>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</si>
  <si>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</si>
  <si>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</si>
  <si>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</si>
  <si>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</si>
  <si>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</si>
  <si>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</si>
  <si>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</si>
  <si>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</si>
  <si>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</si>
  <si>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</si>
  <si>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</si>
  <si>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</si>
  <si>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</si>
  <si>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</si>
  <si>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</si>
  <si>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</si>
  <si>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</si>
  <si>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</si>
  <si>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</si>
  <si>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</si>
  <si>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</si>
  <si>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</si>
  <si>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</si>
  <si>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</si>
  <si>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</si>
  <si>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</si>
  <si>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</si>
  <si>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</si>
  <si>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</si>
  <si>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</si>
  <si>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</si>
  <si>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</si>
  <si>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</si>
  <si>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</si>
  <si>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</si>
  <si>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</si>
  <si>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</si>
  <si>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</si>
  <si>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</si>
  <si>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</si>
  <si>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</si>
  <si>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</si>
  <si>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</si>
  <si>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</si>
  <si>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</si>
  <si>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</si>
  <si>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</si>
  <si>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</si>
  <si>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</si>
  <si>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</si>
  <si>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</si>
  <si>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</si>
  <si>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</si>
  <si>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</si>
  <si>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</si>
  <si>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</si>
  <si>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</si>
  <si>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</si>
  <si>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</si>
  <si>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</si>
  <si>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</si>
  <si>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</si>
  <si>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</si>
  <si>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</si>
  <si>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</si>
  <si>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</si>
  <si>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</si>
  <si>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</si>
  <si>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</si>
  <si>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</si>
  <si>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</si>
  <si>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</si>
  <si>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</si>
  <si>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</si>
  <si>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</si>
  <si>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</si>
  <si>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</si>
  <si>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</si>
  <si>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</si>
  <si>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</si>
  <si>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</si>
  <si>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</si>
  <si>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</si>
  <si>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</si>
  <si>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</si>
  <si>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</si>
  <si>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</si>
  <si>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</si>
  <si>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</si>
  <si>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</si>
  <si>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</si>
  <si>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</si>
  <si>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</si>
  <si>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</si>
  <si>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</si>
  <si>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</si>
  <si>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</si>
  <si>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</si>
  <si>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</si>
  <si>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</si>
  <si>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</si>
  <si>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</si>
  <si>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</si>
  <si>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</si>
  <si>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</si>
  <si>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</si>
  <si>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</si>
  <si>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</si>
  <si>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</si>
  <si>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</si>
  <si>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</si>
  <si>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</si>
  <si>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</si>
  <si>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</si>
  <si>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</si>
  <si>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</si>
  <si>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</si>
  <si>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</si>
  <si>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</si>
  <si>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</si>
  <si>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</si>
  <si>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</si>
  <si>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</si>
  <si>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</si>
  <si>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</si>
  <si>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</si>
  <si>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</si>
  <si>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</si>
  <si>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</si>
  <si>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</si>
  <si>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</si>
  <si>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</si>
  <si>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</si>
  <si>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</si>
  <si>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</si>
  <si>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</si>
  <si>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</si>
  <si>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</si>
  <si>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</si>
  <si>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</si>
  <si>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</si>
  <si>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</si>
  <si>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</si>
  <si>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</si>
  <si>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</si>
  <si>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</si>
  <si>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</si>
  <si>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</si>
  <si>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</si>
  <si>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</si>
  <si>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</si>
  <si>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</si>
  <si>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</si>
  <si>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</si>
  <si>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</si>
  <si>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</si>
  <si>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</si>
  <si>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</si>
  <si>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</si>
  <si>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</si>
  <si>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</si>
  <si>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</si>
  <si>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</si>
  <si>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</si>
  <si>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</si>
  <si>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</si>
  <si>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</si>
  <si>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</si>
  <si>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</si>
  <si>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</si>
  <si>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</si>
  <si>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</si>
  <si>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</si>
  <si>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</si>
  <si>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</si>
  <si>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</si>
  <si>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</si>
  <si>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</si>
  <si>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</si>
  <si>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</si>
  <si>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</si>
  <si>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</si>
  <si>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</si>
  <si>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</si>
  <si>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</si>
  <si>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</si>
  <si>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</si>
  <si>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</si>
  <si>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</si>
  <si>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</si>
  <si>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</si>
  <si>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</si>
  <si>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</si>
  <si>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</si>
  <si>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</si>
  <si>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</si>
  <si>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</si>
  <si>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</si>
  <si>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</si>
  <si>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</si>
  <si>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</si>
  <si>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</si>
  <si>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</si>
  <si>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</si>
  <si>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</si>
  <si>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</si>
  <si>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</si>
  <si>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</si>
  <si>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</si>
  <si>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</si>
  <si>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</si>
  <si>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</si>
  <si>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</si>
  <si>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</si>
  <si>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</si>
  <si>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</si>
  <si>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</si>
  <si>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</si>
  <si>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</si>
  <si>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</si>
  <si>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</si>
  <si>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</si>
  <si>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</si>
  <si>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</si>
  <si>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</si>
  <si>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</si>
  <si>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</si>
  <si>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</si>
  <si>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</si>
  <si>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</si>
  <si>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</si>
  <si>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</si>
  <si>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</si>
  <si>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</si>
  <si>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</si>
  <si>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</si>
  <si>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</si>
  <si>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</si>
  <si>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</si>
  <si>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</si>
  <si>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</si>
  <si>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</si>
  <si>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</si>
  <si>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</si>
  <si>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</si>
  <si>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</si>
  <si>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</si>
  <si>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</si>
  <si>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</si>
  <si>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</si>
  <si>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</si>
  <si>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</si>
  <si>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</si>
  <si>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</si>
  <si>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</si>
  <si>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</si>
  <si>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</si>
  <si>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</si>
  <si>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</si>
  <si>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</si>
  <si>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</si>
  <si>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</si>
  <si>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</si>
  <si>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</si>
  <si>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</si>
  <si>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</si>
  <si>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</si>
  <si>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</si>
  <si>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</si>
  <si>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</si>
  <si>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</si>
  <si>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</si>
  <si>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</si>
  <si>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</si>
  <si>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</si>
  <si>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</si>
  <si>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</si>
  <si>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</si>
  <si>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</si>
  <si>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</si>
  <si>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</si>
  <si>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</si>
  <si>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</si>
  <si>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</si>
  <si>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</si>
  <si>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</si>
  <si>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</si>
  <si>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</si>
  <si>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</si>
  <si>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</si>
  <si>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</si>
  <si>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</si>
  <si>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</si>
  <si>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</si>
  <si>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</si>
  <si>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</si>
  <si>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</si>
  <si>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</si>
  <si>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</si>
  <si>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</si>
  <si>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</si>
  <si>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</si>
  <si>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</si>
  <si>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</si>
  <si>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</si>
  <si>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</si>
  <si>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</si>
  <si>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</si>
  <si>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</si>
  <si>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</si>
  <si>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</si>
  <si>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</si>
  <si>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</si>
  <si>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</si>
  <si>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</si>
  <si>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</si>
  <si>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</si>
  <si>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</si>
  <si>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</si>
  <si>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</si>
  <si>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</si>
  <si>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</si>
  <si>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</si>
  <si>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</si>
  <si>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</si>
  <si>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</si>
  <si>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</si>
  <si>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</si>
  <si>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</si>
  <si>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</si>
  <si>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</si>
  <si>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</si>
  <si>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</si>
  <si>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"ЖРЭП № 8"</t>
  </si>
  <si>
    <t>ООО "Мой дом"</t>
  </si>
  <si>
    <t>ООО  "УК ЛЮКС"</t>
  </si>
  <si>
    <t>ООО УК "Старый город"</t>
  </si>
  <si>
    <t>МКП г.Владимира "ЖКХ"</t>
  </si>
  <si>
    <t>ООО "ТЭК"</t>
  </si>
  <si>
    <t>ООО "ВУК"</t>
  </si>
  <si>
    <t>ООО ЖРП "Заклязьменский"</t>
  </si>
  <si>
    <t>ООО "Коммунальщик Проф"</t>
  </si>
  <si>
    <t>ООО "Жилищник"</t>
  </si>
  <si>
    <t>ЗАО "Альтернатива"</t>
  </si>
  <si>
    <t xml:space="preserve"> ООО "ТЭК"</t>
  </si>
  <si>
    <t xml:space="preserve"> ООО "УниверсалСтрой"</t>
  </si>
  <si>
    <t>МКП "ЖКХ"</t>
  </si>
  <si>
    <t xml:space="preserve"> МУП г.Владимира "ГУК"</t>
  </si>
  <si>
    <t>ООО "УК Лидер"</t>
  </si>
  <si>
    <t>МУП "ГУК"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</si>
  <si>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</si>
  <si>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</si>
  <si>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</si>
  <si>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</si>
  <si>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</si>
  <si>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</si>
  <si>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</si>
  <si>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</si>
  <si>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 xml:space="preserve"> ООО "Жилищник"</t>
  </si>
  <si>
    <t>ООО УК "ЛЮКС"</t>
  </si>
  <si>
    <t>ООО "ЖилСтройСтандарт"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</si>
  <si>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</si>
  <si>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</si>
  <si>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</si>
  <si>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</si>
  <si>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</si>
  <si>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</si>
  <si>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</si>
  <si>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</si>
  <si>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</si>
  <si>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</si>
  <si>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</si>
  <si>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</si>
  <si>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</si>
  <si>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</si>
  <si>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</si>
  <si>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</si>
  <si>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</si>
  <si>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</si>
  <si>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</si>
  <si>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</si>
  <si>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</si>
  <si>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</si>
  <si>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</si>
  <si>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</si>
  <si>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</si>
  <si>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</si>
  <si>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</si>
  <si>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</si>
  <si>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</si>
  <si>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</si>
  <si>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</si>
  <si>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</si>
  <si>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</si>
  <si>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</si>
  <si>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</si>
  <si>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</si>
  <si>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</si>
  <si>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</si>
  <si>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</si>
  <si>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</si>
  <si>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</si>
  <si>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</si>
  <si>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</si>
  <si>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</si>
  <si>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</si>
  <si>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</si>
  <si>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</si>
  <si>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</si>
  <si>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</si>
  <si>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</si>
  <si>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</si>
  <si>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</si>
  <si>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</si>
  <si>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</si>
  <si>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</si>
  <si>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</si>
  <si>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</si>
  <si>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</si>
  <si>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</si>
  <si>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</si>
  <si>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</si>
  <si>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</si>
  <si>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</si>
  <si>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</si>
  <si>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</si>
  <si>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</si>
  <si>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</si>
  <si>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</si>
  <si>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</si>
  <si>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</si>
  <si>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</si>
  <si>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</si>
  <si>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</si>
  <si>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</si>
  <si>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</si>
  <si>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</si>
  <si>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</si>
  <si>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</si>
  <si>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</si>
  <si>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МУП «ГУК»</t>
  </si>
  <si>
    <t>Ковров г, Пугачева ул, 29</t>
  </si>
  <si>
    <t>Ковров г, Ковров-8 тер, 8 </t>
  </si>
  <si>
    <t>ООО "Жилищник-Центр" </t>
  </si>
  <si>
    <t>Владимир г, Березина ул, 3</t>
  </si>
  <si>
    <t>Суздальский р-н, Новое с, Молодежная ул, 1</t>
  </si>
  <si>
    <t>ООО "ЖИЛСТРОЙСТАНДАРТ"</t>
  </si>
  <si>
    <t>ООО "УК СОДРУЖЕСТВО"</t>
  </si>
  <si>
    <t>ТСН "СОГЛАСИЕ 108"</t>
  </si>
  <si>
    <t>ООО "Жилремстрой"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</si>
  <si>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</si>
  <si>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</si>
  <si>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</si>
  <si>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</si>
  <si>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</si>
  <si>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</si>
  <si>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</si>
  <si>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</si>
  <si>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</si>
  <si>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</si>
  <si>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</si>
  <si>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</si>
  <si>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</si>
  <si>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</si>
  <si>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</si>
  <si>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</si>
  <si>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</si>
  <si>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</si>
  <si>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</si>
  <si>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</si>
  <si>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</si>
  <si>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</si>
  <si>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</si>
  <si>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</si>
  <si>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</si>
  <si>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</si>
  <si>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</si>
  <si>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</si>
  <si>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</si>
  <si>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</si>
  <si>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</si>
  <si>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</si>
  <si>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</si>
  <si>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</si>
  <si>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</si>
  <si>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</si>
  <si>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</si>
  <si>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</si>
  <si>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</si>
  <si>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</si>
  <si>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</si>
  <si>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</si>
  <si>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</si>
  <si>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</si>
  <si>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</si>
  <si>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</si>
  <si>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</si>
  <si>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</si>
  <si>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</si>
  <si>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</si>
  <si>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</si>
  <si>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</si>
  <si>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</si>
  <si>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</si>
  <si>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</si>
  <si>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</si>
  <si>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</si>
  <si>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</si>
  <si>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</si>
  <si>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</si>
  <si>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</si>
  <si>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</si>
  <si>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</si>
  <si>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</si>
  <si>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</si>
  <si>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</si>
  <si>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</si>
  <si>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</si>
  <si>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</si>
  <si>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</si>
  <si>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</si>
  <si>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</si>
  <si>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</si>
  <si>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</si>
  <si>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</si>
  <si>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</si>
  <si>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</si>
  <si>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</si>
  <si>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</si>
  <si>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</si>
  <si>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</si>
  <si>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</si>
  <si>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</si>
  <si>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</si>
  <si>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</si>
  <si>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</si>
  <si>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</si>
  <si>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</si>
  <si>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</si>
  <si>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</si>
  <si>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</si>
  <si>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</si>
  <si>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</si>
  <si>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</si>
  <si>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</si>
  <si>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</si>
  <si>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</si>
  <si>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</si>
  <si>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</si>
  <si>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</si>
  <si>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 г, Ческа-Липа ул, 6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</si>
  <si>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</si>
  <si>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</si>
  <si>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</si>
  <si>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</si>
  <si>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</si>
  <si>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</si>
  <si>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</si>
  <si>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</si>
  <si>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</si>
  <si>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</si>
  <si>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</si>
  <si>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</si>
  <si>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</si>
  <si>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</si>
  <si>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</si>
  <si>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</si>
  <si>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</si>
  <si>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</si>
  <si>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</si>
  <si>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</si>
  <si>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</si>
  <si>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</si>
  <si>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</si>
  <si>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</si>
  <si>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</si>
  <si>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</si>
  <si>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</si>
  <si>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</si>
  <si>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</si>
  <si>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</si>
  <si>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</si>
  <si>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</si>
  <si>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</si>
  <si>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</si>
  <si>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</si>
  <si>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</si>
  <si>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</si>
  <si>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</si>
  <si>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</si>
  <si>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</si>
  <si>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</si>
  <si>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</si>
  <si>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</si>
  <si>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</si>
  <si>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</si>
  <si>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</si>
  <si>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</si>
  <si>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</si>
  <si>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</si>
  <si>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</si>
  <si>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</si>
  <si>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</si>
  <si>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</si>
  <si>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</si>
  <si>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</si>
  <si>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</si>
  <si>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</si>
  <si>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</si>
  <si>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</si>
  <si>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</si>
  <si>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</si>
  <si>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</si>
  <si>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</si>
  <si>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</si>
  <si>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</si>
  <si>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</si>
  <si>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</si>
  <si>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</si>
  <si>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</si>
  <si>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</si>
  <si>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</si>
  <si>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</si>
  <si>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</si>
  <si>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</si>
  <si>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</si>
  <si>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</si>
  <si>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</si>
  <si>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</si>
  <si>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</si>
  <si>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</si>
  <si>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</si>
  <si>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</si>
  <si>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</si>
  <si>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</si>
  <si>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</si>
  <si>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</si>
  <si>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</si>
  <si>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</si>
  <si>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</si>
  <si>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</si>
  <si>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</si>
  <si>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</si>
  <si>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</si>
  <si>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</si>
  <si>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</si>
  <si>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</si>
  <si>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</si>
  <si>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</si>
  <si>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</si>
  <si>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</si>
  <si>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</si>
  <si>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</si>
  <si>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</si>
  <si>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</si>
  <si>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</si>
  <si>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</si>
  <si>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</si>
  <si>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</si>
  <si>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</si>
  <si>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</si>
  <si>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</si>
  <si>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</si>
  <si>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</si>
  <si>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</si>
  <si>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</si>
  <si>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</si>
  <si>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</si>
  <si>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</si>
  <si>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</si>
  <si>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</si>
  <si>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</si>
  <si>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</si>
  <si>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</si>
  <si>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</si>
  <si>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</si>
  <si>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</si>
  <si>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</si>
  <si>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</si>
  <si>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</si>
  <si>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</si>
  <si>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</si>
  <si>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</si>
  <si>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</si>
  <si>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</si>
  <si>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</si>
  <si>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</si>
  <si>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</si>
  <si>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</si>
  <si>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ТСЖ "Центр"</t>
  </si>
  <si>
    <t>МКП Владимир ЖКХ</t>
  </si>
  <si>
    <t>МУП города Владимира "ГУК"</t>
  </si>
  <si>
    <t>ООО  "УниверсалСтрой"</t>
  </si>
  <si>
    <t>ООО "Квартал"</t>
  </si>
  <si>
    <t>Монолитные</t>
  </si>
  <si>
    <t>ООО  "Жилищник" город Владимир</t>
  </si>
  <si>
    <t>ООО "Владимирская управляющая компания"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</si>
  <si>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</si>
  <si>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</si>
  <si>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</si>
  <si>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</si>
  <si>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</si>
  <si>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</si>
  <si>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</si>
  <si>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</si>
  <si>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</si>
  <si>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</si>
  <si>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</si>
  <si>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</si>
  <si>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</si>
  <si>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</si>
  <si>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</si>
  <si>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</si>
  <si>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</si>
  <si>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</si>
  <si>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</si>
  <si>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</si>
  <si>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</si>
  <si>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</si>
  <si>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</si>
  <si>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</si>
  <si>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</si>
  <si>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</si>
  <si>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</si>
  <si>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</si>
  <si>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</si>
  <si>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</si>
  <si>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</si>
  <si>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</si>
  <si>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</si>
  <si>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</si>
  <si>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</si>
  <si>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</si>
  <si>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</si>
  <si>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</si>
  <si>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</si>
  <si>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</si>
  <si>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</si>
  <si>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</si>
  <si>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</si>
  <si>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</si>
  <si>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</si>
  <si>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</si>
  <si>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</si>
  <si>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 xml:space="preserve">Денисовское </t>
  </si>
  <si>
    <t>Суздальский р-н, Сокол п, 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</si>
  <si>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</si>
  <si>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</si>
  <si>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</si>
  <si>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</si>
  <si>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</si>
  <si>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</si>
  <si>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</si>
  <si>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</si>
  <si>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</si>
  <si>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</si>
  <si>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</si>
  <si>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</si>
  <si>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</si>
  <si>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</si>
  <si>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</si>
  <si>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</si>
  <si>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</si>
  <si>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</si>
  <si>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</si>
  <si>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</si>
  <si>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</si>
  <si>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</si>
  <si>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</si>
  <si>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</si>
  <si>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</si>
  <si>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</si>
  <si>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</si>
  <si>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</si>
  <si>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</si>
  <si>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</si>
  <si>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</si>
  <si>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</si>
  <si>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</si>
  <si>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</si>
  <si>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</si>
  <si>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</si>
  <si>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2026-2028</t>
  </si>
  <si>
    <t>2029-2031</t>
  </si>
  <si>
    <t>2023-2025</t>
  </si>
  <si>
    <t>2028-2030</t>
  </si>
  <si>
    <t>2016-2018</t>
  </si>
  <si>
    <t>2031-2033</t>
  </si>
  <si>
    <t>2032-2034</t>
  </si>
  <si>
    <t>2024-2026</t>
  </si>
  <si>
    <t>2037-2039</t>
  </si>
  <si>
    <t>Итого по округ Муром</t>
  </si>
  <si>
    <t>2041-2043</t>
  </si>
  <si>
    <t>Итого по ЗАТО город Радужный</t>
  </si>
  <si>
    <t>Итого по Второвское</t>
  </si>
  <si>
    <t>Итого по город Поеров</t>
  </si>
  <si>
    <t>2027-2029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</si>
  <si>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</si>
  <si>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</si>
  <si>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</si>
  <si>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</si>
  <si>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</si>
  <si>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</si>
  <si>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</si>
  <si>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</si>
  <si>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</si>
  <si>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</si>
  <si>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</si>
  <si>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</si>
  <si>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</si>
  <si>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</si>
  <si>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Крупской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</si>
  <si>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</si>
  <si>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</si>
  <si>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</si>
  <si>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</si>
  <si>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</si>
  <si>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</si>
  <si>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</si>
  <si>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</si>
  <si>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</si>
  <si>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</si>
  <si>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</si>
  <si>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</si>
  <si>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</si>
  <si>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</si>
  <si>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</si>
  <si>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</si>
  <si>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</si>
  <si>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Брюсова ул, 23</t>
  </si>
  <si>
    <t>Ковров г, Ленина пр-кт, 7</t>
  </si>
  <si>
    <t>Ковров г, Дегтярева ул, 4</t>
  </si>
  <si>
    <t>Ковров г, Брюсова ул, 27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</si>
  <si>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</si>
  <si>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</si>
  <si>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</si>
  <si>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</si>
  <si>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</si>
  <si>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Социалистическая ул, 27</t>
  </si>
  <si>
    <t>Ковров г, Еловая ул, 84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</si>
  <si>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</si>
  <si>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</si>
  <si>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</si>
  <si>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</si>
  <si>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</si>
  <si>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</si>
  <si>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Ковров г, Либерецкая ул, 1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</si>
  <si>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</si>
  <si>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</si>
  <si>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</si>
  <si>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</si>
  <si>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</si>
  <si>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</si>
  <si>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</si>
  <si>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</si>
  <si>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</si>
  <si>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</si>
  <si>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</si>
  <si>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</si>
  <si>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</si>
  <si>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</si>
  <si>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</si>
  <si>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</si>
  <si>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</si>
  <si>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</si>
  <si>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</si>
  <si>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</si>
  <si>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</si>
  <si>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</si>
  <si>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</si>
  <si>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</si>
  <si>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</si>
  <si>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</si>
  <si>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</si>
  <si>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</si>
  <si>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</si>
  <si>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</si>
  <si>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</si>
  <si>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</si>
  <si>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</si>
  <si>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</si>
  <si>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</si>
  <si>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</si>
  <si>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</si>
  <si>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</si>
  <si>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</si>
  <si>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</si>
  <si>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</si>
  <si>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</si>
  <si>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</si>
  <si>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</si>
  <si>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</si>
  <si>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Ковровский р-н, Мелехово пгт, Пионерская ул, 3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</si>
  <si>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</si>
  <si>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</si>
  <si>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</si>
  <si>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</si>
  <si>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</si>
  <si>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</si>
  <si>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</si>
  <si>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</si>
  <si>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</si>
  <si>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</si>
  <si>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</si>
  <si>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</si>
  <si>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</si>
  <si>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</si>
  <si>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</si>
  <si>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</si>
  <si>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ООО УК "УПРАВДОМ"</t>
  </si>
  <si>
    <t>ООО УК "ВИКА"</t>
  </si>
  <si>
    <t>ООО "УК "ВЕСТА"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</si>
  <si>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</si>
  <si>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</si>
  <si>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</si>
  <si>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</si>
  <si>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</si>
  <si>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</si>
  <si>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</si>
  <si>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</si>
  <si>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</si>
  <si>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</si>
  <si>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</si>
  <si>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</si>
  <si>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</si>
  <si>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</si>
  <si>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Владимир г, Верхняя Дуброва ул, 16</t>
  </si>
  <si>
    <t>Владимир г, Московское ш, 1</t>
  </si>
  <si>
    <t>Гороховец г, Краснова ул, 5</t>
  </si>
  <si>
    <t>Гороховец г, Полевая ул, 1</t>
  </si>
  <si>
    <t>Гороховецкий р-н, Торфопредприятия Большое п, Октябрьская ул, 8</t>
  </si>
  <si>
    <t>Гороховецкий р-н, Галицы п, Пролетарская ул, 34</t>
  </si>
  <si>
    <t>Ковров г, Киркижа ул, 30</t>
  </si>
  <si>
    <t>Ковров г, Лопатина ул, 23</t>
  </si>
  <si>
    <t>Ковров г, Машиностроителей ул, 11</t>
  </si>
  <si>
    <t>Вязники г, Благовещенская ул, 38</t>
  </si>
  <si>
    <t>Владимир г, Токарева ул, 10</t>
  </si>
  <si>
    <t>Владимир г, Горького ул, 57</t>
  </si>
  <si>
    <t>Владимир г, Диктора Левитана ул, 39</t>
  </si>
  <si>
    <t>Владимир г, Егорова ул, 2</t>
  </si>
  <si>
    <t>Владимир г, Дворянская ул, 13</t>
  </si>
  <si>
    <t>Владимир г, Асаткина ул, 12</t>
  </si>
  <si>
    <t>Суздальский р-н, Новоалександрово с, Студенческая ул, 6</t>
  </si>
  <si>
    <t>Гороховец г, Мира ул, 18</t>
  </si>
  <si>
    <t>Гороховец г, Советская ул, 13</t>
  </si>
  <si>
    <t>Вязники г, Соборная пл, 4</t>
  </si>
  <si>
    <t>Муром г, Мечникова ул, 81</t>
  </si>
  <si>
    <t>Петушинский р-н, Вольгинский п, Новосеменковская ул, 5</t>
  </si>
  <si>
    <t>Петушинский р-н, Пахомово д, 37</t>
  </si>
  <si>
    <t>Петушинский р-н, Городищи п, Октябрьская 2-я ул, 25</t>
  </si>
  <si>
    <t>Камешковский р-н, им Максима Горького п, Шоссейная ул, 1</t>
  </si>
  <si>
    <t>Радужный г, 1-й кв-л, 20</t>
  </si>
  <si>
    <t>Александров г, Терешковой ул, 7 корп. 2</t>
  </si>
  <si>
    <t>Гусь-Хрустальный г, Каляевская ул, 3</t>
  </si>
  <si>
    <t>Киржач г, Больничный проезд, 4</t>
  </si>
  <si>
    <t>Собинский р-н, Лакинск г, 21 Партсъезда ул, 11</t>
  </si>
  <si>
    <t>Юрьев-Польский г, Герцена ул, 13А</t>
  </si>
  <si>
    <t>Юрьев-Польский г, Герцена ул, 15</t>
  </si>
  <si>
    <t>Муромский р-н, Фабрики им П.Л.Войкова п, 25</t>
  </si>
  <si>
    <t>Муром г, Спортивная ул, 10</t>
  </si>
  <si>
    <t>Александровский р-н, Карабаново г, Мира ул, 16</t>
  </si>
  <si>
    <t>Петушинский р-н, Вольгинский п, Старовская ул, 3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</si>
  <si>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</si>
  <si>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</si>
  <si>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</si>
  <si>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</si>
  <si>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</si>
  <si>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город Поеров</t>
  </si>
  <si>
    <t>Камешково г, Рабочая ул, 7В</t>
  </si>
  <si>
    <t>Ковровский р-н, подстанция Заря р-н, 3</t>
  </si>
  <si>
    <t>Ковровский р-н, Мелехово пгт, Советская ул, 9</t>
  </si>
  <si>
    <t>ООО "УПРАВЛЯЮЩАЯ ОРГАНИЗАЦИЯ" Г.ГУСЬ-ХРУСТАЛЬНЫЙ</t>
  </si>
  <si>
    <t>Кирпичные, блочные</t>
  </si>
  <si>
    <t>ООО "Домоуправ" </t>
  </si>
  <si>
    <t>ООО "ЖКО Роско"</t>
  </si>
  <si>
    <t>1880</t>
  </si>
  <si>
    <t>"Галицы"</t>
  </si>
  <si>
    <t>ООО "УЮТ"</t>
  </si>
  <si>
    <t>ООО "Жилфонд"</t>
  </si>
  <si>
    <t>ООО "МОНОЛИТ"</t>
  </si>
  <si>
    <t>УК "Порядок"</t>
  </si>
  <si>
    <t>Гороховец г, Ленина ул, 15</t>
  </si>
  <si>
    <t>Владимир г, Асаткина ул, 15</t>
  </si>
  <si>
    <t>Владимир г, Завадского ул, 13</t>
  </si>
  <si>
    <t>Владимир г, Юрьевец мкр, Институтский городок, 4</t>
  </si>
  <si>
    <t>Владимир г, Кирова ул, 10</t>
  </si>
  <si>
    <t>Владимир г, Полины Осипенко ул, 15</t>
  </si>
  <si>
    <t>Владимир г, Труда ул, 32</t>
  </si>
  <si>
    <t>ООО «Жилищная компания»</t>
  </si>
  <si>
    <t>ООО «УК Лидер»</t>
  </si>
  <si>
    <t>Муром г, Кленовая ул, 1/3</t>
  </si>
  <si>
    <t>Гусь-Хрустальный г, Октябрьская ул, 2</t>
  </si>
  <si>
    <t>Гусь-Хрустальный г, Ломоносова ул, 24а</t>
  </si>
  <si>
    <t>Киржач г, Совхозная ул, 1</t>
  </si>
  <si>
    <t>Александров г, Лермонтова ул, 14</t>
  </si>
  <si>
    <t>Каменные, блочные</t>
  </si>
  <si>
    <t>Петушинский р-н, Покров г, 3 Интернационала ул, 68</t>
  </si>
  <si>
    <t>ООО "МКД-СЕРВИС"</t>
  </si>
  <si>
    <t>МУП города Владимира "ГУК" </t>
  </si>
  <si>
    <t>Владимир г, Семашко ул, 13</t>
  </si>
  <si>
    <t>Ковров г, Блинова ул, 74</t>
  </si>
  <si>
    <t>Ковров г, Сосновая ул, 28</t>
  </si>
  <si>
    <t>ООО УК "Парадигма"</t>
  </si>
  <si>
    <t>ООО "УК"Парадигма"</t>
  </si>
  <si>
    <t>ООО "Наше ЖКО"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</si>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</sst>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General"/>
    <numFmt numFmtId="166" formatCode="###\ ###\ ###\ ##0.00"/>
    <numFmt numFmtId="167" formatCode="###\ ###\ ###\ ##0"/>
  </numFmts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</cellStyleXfs>
  <cellXfs count="274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0" fillId="0" borderId="0" xfId="19" applyFont="1" applyFill="1" applyAlignment="1">
      <alignment wrapText="1"/>
    </xf>
    <xf numFmtId="0" fontId="30" fillId="0" borderId="0" xfId="19" applyFont="1" applyFill="1" applyAlignment="1">
      <alignment horizontal="center" wrapText="1"/>
    </xf>
    <xf numFmtId="0" fontId="30" fillId="0" borderId="0" xfId="19" applyFont="1" applyFill="1" applyAlignment="1">
      <alignment vertical="center" wrapText="1"/>
    </xf>
    <xf numFmtId="0" fontId="30" fillId="0" borderId="1" xfId="29" applyFont="1" applyFill="1" applyBorder="1" applyAlignment="1">
      <alignment horizontal="center" vertical="center"/>
    </xf>
    <xf numFmtId="1" fontId="30" fillId="0" borderId="1" xfId="29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0" fillId="0" borderId="0" xfId="0" applyNumberForma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/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3" fontId="15" fillId="0" borderId="1" xfId="0" applyNumberFormat="1" applyFont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right" wrapText="1"/>
    </xf>
    <xf numFmtId="0" fontId="23" fillId="0" borderId="5" xfId="0" applyFont="1" applyFill="1" applyBorder="1" applyAlignment="1">
      <alignment horizontal="center" wrapText="1"/>
    </xf>
    <xf numFmtId="0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right" vertical="center" readingOrder="1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/>
    <xf numFmtId="0" fontId="35" fillId="0" borderId="1" xfId="28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right"/>
    </xf>
    <xf numFmtId="4" fontId="37" fillId="0" borderId="1" xfId="0" applyNumberFormat="1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5" fillId="0" borderId="1" xfId="28" applyFont="1" applyFill="1" applyBorder="1" applyAlignment="1">
      <alignment horizontal="left" vertical="center"/>
    </xf>
    <xf numFmtId="3" fontId="37" fillId="0" borderId="1" xfId="0" applyNumberFormat="1" applyFont="1" applyFill="1" applyBorder="1"/>
    <xf numFmtId="0" fontId="3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31" fillId="0" borderId="1" xfId="0" applyFont="1" applyFill="1" applyBorder="1"/>
    <xf numFmtId="4" fontId="43" fillId="0" borderId="1" xfId="0" applyNumberFormat="1" applyFont="1" applyFill="1" applyBorder="1" applyAlignment="1">
      <alignment horizontal="right"/>
    </xf>
    <xf numFmtId="0" fontId="30" fillId="0" borderId="0" xfId="19" applyFont="1" applyFill="1" applyAlignment="1">
      <alignment horizontal="right" wrapText="1"/>
    </xf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vertic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4" fontId="37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3" fillId="0" borderId="0" xfId="0" applyNumberFormat="1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/>
    </xf>
    <xf numFmtId="167" fontId="23" fillId="0" borderId="5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left"/>
    </xf>
    <xf numFmtId="166" fontId="31" fillId="0" borderId="1" xfId="0" applyNumberFormat="1" applyFont="1" applyFill="1" applyBorder="1" applyAlignment="1">
      <alignment wrapText="1"/>
    </xf>
    <xf numFmtId="0" fontId="23" fillId="0" borderId="5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left" wrapText="1"/>
    </xf>
    <xf numFmtId="166" fontId="23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" fontId="28" fillId="0" borderId="1" xfId="0" applyNumberFormat="1" applyFont="1" applyFill="1" applyBorder="1" applyAlignment="1">
      <alignment horizontal="right"/>
    </xf>
    <xf numFmtId="0" fontId="28" fillId="0" borderId="1" xfId="28" applyFont="1" applyFill="1" applyBorder="1" applyAlignment="1">
      <alignment horizontal="left" vertical="center"/>
    </xf>
    <xf numFmtId="0" fontId="35" fillId="0" borderId="1" xfId="28" applyFont="1" applyFill="1" applyBorder="1" applyAlignment="1">
      <alignment horizontal="left"/>
    </xf>
    <xf numFmtId="167" fontId="30" fillId="0" borderId="1" xfId="0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left" wrapText="1"/>
    </xf>
    <xf numFmtId="4" fontId="43" fillId="0" borderId="1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41" fillId="0" borderId="0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 textRotation="90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textRotation="90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NumberFormat="1" applyFont="1" applyFill="1" applyBorder="1" applyAlignment="1">
      <alignment horizontal="center" vertical="center" textRotation="90" wrapText="1"/>
    </xf>
    <xf numFmtId="0" fontId="30" fillId="0" borderId="1" xfId="9" applyNumberFormat="1" applyFont="1" applyFill="1" applyBorder="1" applyAlignment="1">
      <alignment horizontal="center" vertical="center"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7" fontId="23" fillId="0" borderId="6" xfId="0" applyNumberFormat="1" applyFont="1" applyFill="1" applyBorder="1" applyAlignment="1">
      <alignment horizontal="left"/>
    </xf>
    <xf numFmtId="167" fontId="23" fillId="0" borderId="5" xfId="0" applyNumberFormat="1" applyFont="1" applyFill="1" applyBorder="1" applyAlignment="1">
      <alignment horizontal="left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30" fillId="0" borderId="2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horizontal="center" vertical="center" wrapText="1"/>
    </xf>
    <xf numFmtId="0" fontId="30" fillId="0" borderId="4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horizontal="center" textRotation="90" wrapText="1"/>
    </xf>
    <xf numFmtId="0" fontId="30" fillId="0" borderId="1" xfId="29" applyFont="1" applyFill="1" applyBorder="1" applyAlignment="1">
      <alignment horizontal="center" wrapText="1"/>
    </xf>
    <xf numFmtId="0" fontId="30" fillId="0" borderId="1" xfId="29" applyFont="1" applyFill="1" applyBorder="1" applyAlignment="1">
      <alignment horizontal="center" vertical="center" textRotation="90" wrapText="1"/>
    </xf>
    <xf numFmtId="0" fontId="30" fillId="0" borderId="1" xfId="29" applyFont="1" applyFill="1" applyBorder="1" applyAlignment="1">
      <alignment vertical="center" wrapText="1"/>
    </xf>
    <xf numFmtId="0" fontId="30" fillId="0" borderId="1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vertical="center" textRotation="90" wrapText="1"/>
    </xf>
    <xf numFmtId="0" fontId="30" fillId="0" borderId="4" xfId="29" applyFont="1" applyFill="1" applyBorder="1" applyAlignment="1">
      <alignment horizontal="center" vertical="center"/>
    </xf>
    <xf numFmtId="0" fontId="30" fillId="0" borderId="4" xfId="29" applyFont="1" applyFill="1" applyBorder="1" applyAlignment="1">
      <alignment vertical="center" wrapText="1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horizontal="right" vertical="center" wrapText="1"/>
    </xf>
    <xf numFmtId="0" fontId="39" fillId="0" borderId="0" xfId="19" applyFont="1" applyFill="1" applyAlignment="1">
      <alignment horizontal="center" vertical="center" wrapText="1"/>
    </xf>
    <xf numFmtId="0" fontId="30" fillId="0" borderId="1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vertical="center" wrapText="1"/>
    </xf>
    <xf numFmtId="0" fontId="30" fillId="0" borderId="4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textRotation="90" wrapText="1"/>
    </xf>
    <xf numFmtId="0" fontId="30" fillId="0" borderId="3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wrapText="1"/>
    </xf>
    <xf numFmtId="0" fontId="30" fillId="0" borderId="3" xfId="29" applyFont="1" applyFill="1" applyBorder="1" applyAlignment="1">
      <alignment horizontal="center" textRotation="90" wrapText="1"/>
    </xf>
    <xf numFmtId="0" fontId="30" fillId="0" borderId="4" xfId="29" applyFont="1" applyFill="1" applyBorder="1" applyAlignment="1">
      <alignment horizontal="center" textRotation="90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</cellXfs>
  <cellStyles count="31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8" xfId="29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8" xfId="30"/>
    <cellStyle name="Обычный 9" xfId="21"/>
    <cellStyle name="Обычный_Лист1" xfId="28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198"/>
  <sheetViews>
    <sheetView view="pageBreakPreview" topLeftCell="B1" zoomScale="20" zoomScaleNormal="20" zoomScaleSheetLayoutView="20" workbookViewId="0">
      <selection activeCell="D19" sqref="D19"/>
    </sheetView>
  </sheetViews>
  <sheetFormatPr defaultColWidth="9.140625" defaultRowHeight="15" x14ac:dyDescent="0.25"/>
  <cols>
    <col min="1" max="1" width="7.28515625" style="20" hidden="1" customWidth="1"/>
    <col min="2" max="2" width="17" style="21" bestFit="1" customWidth="1"/>
    <col min="3" max="3" width="255.7109375" style="22" bestFit="1" customWidth="1"/>
    <col min="4" max="4" width="70.85546875" style="20" customWidth="1"/>
    <col min="5" max="5" width="56.5703125" style="20" customWidth="1"/>
    <col min="6" max="6" width="53" style="20" customWidth="1"/>
    <col min="7" max="8" width="58.7109375" style="20" customWidth="1"/>
    <col min="9" max="9" width="58" style="20" customWidth="1"/>
    <col min="10" max="10" width="51.5703125" style="20" customWidth="1"/>
    <col min="11" max="11" width="32.28515625" style="85" customWidth="1"/>
    <col min="12" max="12" width="68.7109375" style="20" customWidth="1"/>
    <col min="13" max="13" width="55.85546875" style="20" customWidth="1"/>
    <col min="14" max="14" width="77.42578125" style="20" customWidth="1"/>
    <col min="15" max="15" width="43" style="20" customWidth="1"/>
    <col min="16" max="16" width="67.5703125" style="20" customWidth="1"/>
    <col min="17" max="17" width="51.5703125" style="20" customWidth="1"/>
    <col min="18" max="18" width="64.42578125" style="20" customWidth="1"/>
    <col min="19" max="19" width="34.42578125" style="20" customWidth="1"/>
    <col min="20" max="20" width="69" style="20" customWidth="1"/>
    <col min="21" max="21" width="60.140625" style="20" customWidth="1"/>
    <col min="22" max="22" width="58.7109375" style="20" customWidth="1"/>
    <col min="23" max="23" width="75.85546875" style="20" customWidth="1"/>
    <col min="24" max="24" width="56.5703125" style="20" customWidth="1"/>
    <col min="25" max="25" width="38" style="20" customWidth="1"/>
    <col min="26" max="26" width="57.28515625" style="20" customWidth="1"/>
    <col min="27" max="27" width="68.7109375" style="20" customWidth="1"/>
    <col min="28" max="28" width="58.7109375" style="20" customWidth="1"/>
    <col min="29" max="30" width="58" style="20" bestFit="1" customWidth="1"/>
    <col min="31" max="31" width="55.140625" style="20" customWidth="1"/>
    <col min="32" max="32" width="51" style="21" customWidth="1"/>
    <col min="33" max="33" width="42.28515625" style="21" customWidth="1"/>
    <col min="34" max="34" width="48.7109375" style="21" customWidth="1"/>
    <col min="35" max="48" width="9.140625" style="20" hidden="1" customWidth="1"/>
    <col min="49" max="49" width="68.42578125" style="20" hidden="1" customWidth="1"/>
    <col min="50" max="75" width="9.140625" style="20" hidden="1" customWidth="1"/>
    <col min="76" max="77" width="9.140625" style="20"/>
    <col min="78" max="78" width="66.28515625" style="20" customWidth="1"/>
    <col min="79" max="79" width="9.140625" style="20"/>
    <col min="80" max="80" width="66.5703125" style="20" customWidth="1"/>
    <col min="81" max="81" width="74.140625" style="20" customWidth="1"/>
    <col min="82" max="82" width="55.5703125" style="20" customWidth="1"/>
    <col min="83" max="83" width="45.140625" style="20" customWidth="1"/>
    <col min="84" max="16384" width="9.140625" style="20"/>
  </cols>
  <sheetData>
    <row r="1" spans="2:34" ht="91.5" x14ac:dyDescent="1.25">
      <c r="B1" s="17"/>
      <c r="C1" s="18"/>
      <c r="D1" s="19"/>
      <c r="E1" s="19"/>
      <c r="F1" s="19"/>
      <c r="G1" s="19"/>
      <c r="H1" s="19"/>
      <c r="I1" s="19"/>
      <c r="J1" s="19"/>
      <c r="K1" s="82"/>
      <c r="L1" s="19"/>
      <c r="M1" s="19"/>
      <c r="N1" s="19"/>
      <c r="O1" s="19"/>
      <c r="P1" s="19"/>
      <c r="Q1" s="19"/>
      <c r="R1" s="19"/>
      <c r="S1" s="19"/>
      <c r="T1" s="19"/>
      <c r="U1" s="19"/>
      <c r="V1" s="165"/>
      <c r="W1" s="173" t="s">
        <v>1021</v>
      </c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</row>
    <row r="2" spans="2:34" ht="143.25" customHeight="1" x14ac:dyDescent="0.45">
      <c r="B2" s="17"/>
      <c r="C2" s="18"/>
      <c r="D2" s="19"/>
      <c r="E2" s="19"/>
      <c r="F2" s="19"/>
      <c r="G2" s="19"/>
      <c r="H2" s="19"/>
      <c r="I2" s="19"/>
      <c r="J2" s="19"/>
      <c r="K2" s="82"/>
      <c r="L2" s="19"/>
      <c r="M2" s="19"/>
      <c r="N2" s="19"/>
      <c r="O2" s="19"/>
      <c r="P2" s="19"/>
      <c r="Q2" s="19"/>
      <c r="R2" s="19"/>
      <c r="S2" s="19"/>
      <c r="T2" s="19"/>
      <c r="U2" s="19"/>
      <c r="V2" s="174" t="s">
        <v>1022</v>
      </c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</row>
    <row r="3" spans="2:34" ht="154.5" customHeight="1" x14ac:dyDescent="1.25">
      <c r="B3" s="27"/>
      <c r="C3" s="28"/>
      <c r="D3" s="165"/>
      <c r="E3" s="165"/>
      <c r="F3" s="165"/>
      <c r="G3" s="165"/>
      <c r="H3" s="165"/>
      <c r="I3" s="165"/>
      <c r="J3" s="165"/>
      <c r="K3" s="83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74" t="s">
        <v>1023</v>
      </c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</row>
    <row r="4" spans="2:34" ht="90" x14ac:dyDescent="1.1499999999999999">
      <c r="B4" s="175" t="s">
        <v>1024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</row>
    <row r="5" spans="2:34" ht="90" x14ac:dyDescent="0.25">
      <c r="B5" s="176" t="s">
        <v>1025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2:34" ht="90" x14ac:dyDescent="0.25">
      <c r="B6" s="176" t="s">
        <v>1029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</row>
    <row r="7" spans="2:34" x14ac:dyDescent="0.25">
      <c r="B7" s="172" t="s">
        <v>1026</v>
      </c>
      <c r="C7" s="177" t="s">
        <v>1071</v>
      </c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</row>
    <row r="8" spans="2:34" ht="117.75" customHeight="1" x14ac:dyDescent="0.25">
      <c r="B8" s="172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</row>
    <row r="9" spans="2:34" ht="117.75" customHeight="1" x14ac:dyDescent="0.25">
      <c r="B9" s="164" t="s">
        <v>1027</v>
      </c>
      <c r="C9" s="177" t="s">
        <v>1028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</row>
    <row r="11" spans="2:34" ht="90.75" customHeight="1" x14ac:dyDescent="0.25">
      <c r="B11" s="180" t="s">
        <v>6</v>
      </c>
      <c r="C11" s="180" t="s">
        <v>7</v>
      </c>
      <c r="D11" s="182" t="s">
        <v>8</v>
      </c>
      <c r="E11" s="180" t="s">
        <v>1030</v>
      </c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1" t="s">
        <v>9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79" t="s">
        <v>10</v>
      </c>
      <c r="AG11" s="179" t="s">
        <v>11</v>
      </c>
      <c r="AH11" s="179" t="s">
        <v>12</v>
      </c>
    </row>
    <row r="12" spans="2:34" ht="90.75" customHeight="1" x14ac:dyDescent="0.25">
      <c r="B12" s="180"/>
      <c r="C12" s="180"/>
      <c r="D12" s="182"/>
      <c r="E12" s="180" t="s">
        <v>13</v>
      </c>
      <c r="F12" s="180"/>
      <c r="G12" s="180"/>
      <c r="H12" s="180"/>
      <c r="I12" s="180"/>
      <c r="J12" s="180"/>
      <c r="K12" s="180" t="s">
        <v>14</v>
      </c>
      <c r="L12" s="180"/>
      <c r="M12" s="180" t="s">
        <v>15</v>
      </c>
      <c r="N12" s="180"/>
      <c r="O12" s="180" t="s">
        <v>16</v>
      </c>
      <c r="P12" s="180"/>
      <c r="Q12" s="180" t="s">
        <v>17</v>
      </c>
      <c r="R12" s="180"/>
      <c r="S12" s="180" t="s">
        <v>18</v>
      </c>
      <c r="T12" s="180"/>
      <c r="U12" s="178" t="s">
        <v>19</v>
      </c>
      <c r="V12" s="178" t="s">
        <v>20</v>
      </c>
      <c r="W12" s="178" t="s">
        <v>21</v>
      </c>
      <c r="X12" s="178" t="s">
        <v>22</v>
      </c>
      <c r="Y12" s="178" t="s">
        <v>23</v>
      </c>
      <c r="Z12" s="178" t="s">
        <v>24</v>
      </c>
      <c r="AA12" s="178" t="s">
        <v>25</v>
      </c>
      <c r="AB12" s="178" t="s">
        <v>26</v>
      </c>
      <c r="AC12" s="178" t="s">
        <v>27</v>
      </c>
      <c r="AD12" s="184" t="s">
        <v>28</v>
      </c>
      <c r="AE12" s="178" t="s">
        <v>29</v>
      </c>
      <c r="AF12" s="179"/>
      <c r="AG12" s="179"/>
      <c r="AH12" s="179"/>
    </row>
    <row r="13" spans="2:34" ht="18.75" customHeight="1" x14ac:dyDescent="0.25">
      <c r="B13" s="180"/>
      <c r="C13" s="180"/>
      <c r="D13" s="182"/>
      <c r="E13" s="179" t="s">
        <v>30</v>
      </c>
      <c r="F13" s="179" t="s">
        <v>31</v>
      </c>
      <c r="G13" s="179" t="s">
        <v>32</v>
      </c>
      <c r="H13" s="179" t="s">
        <v>33</v>
      </c>
      <c r="I13" s="179" t="s">
        <v>34</v>
      </c>
      <c r="J13" s="179" t="s">
        <v>35</v>
      </c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78"/>
      <c r="V13" s="178"/>
      <c r="W13" s="178"/>
      <c r="X13" s="178"/>
      <c r="Y13" s="178"/>
      <c r="Z13" s="178"/>
      <c r="AA13" s="178"/>
      <c r="AB13" s="178"/>
      <c r="AC13" s="178"/>
      <c r="AD13" s="184"/>
      <c r="AE13" s="178"/>
      <c r="AF13" s="179"/>
      <c r="AG13" s="179"/>
      <c r="AH13" s="179"/>
    </row>
    <row r="14" spans="2:34" ht="18.75" customHeight="1" x14ac:dyDescent="0.25">
      <c r="B14" s="180"/>
      <c r="C14" s="180"/>
      <c r="D14" s="182"/>
      <c r="E14" s="179"/>
      <c r="F14" s="179"/>
      <c r="G14" s="179"/>
      <c r="H14" s="179"/>
      <c r="I14" s="179"/>
      <c r="J14" s="179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78"/>
      <c r="V14" s="178"/>
      <c r="W14" s="178"/>
      <c r="X14" s="178"/>
      <c r="Y14" s="178"/>
      <c r="Z14" s="178"/>
      <c r="AA14" s="178"/>
      <c r="AB14" s="178"/>
      <c r="AC14" s="178"/>
      <c r="AD14" s="184"/>
      <c r="AE14" s="178"/>
      <c r="AF14" s="179"/>
      <c r="AG14" s="179"/>
      <c r="AH14" s="179"/>
    </row>
    <row r="15" spans="2:34" ht="18.75" customHeight="1" x14ac:dyDescent="0.25">
      <c r="B15" s="180"/>
      <c r="C15" s="180"/>
      <c r="D15" s="182"/>
      <c r="E15" s="179"/>
      <c r="F15" s="179"/>
      <c r="G15" s="179"/>
      <c r="H15" s="179"/>
      <c r="I15" s="179"/>
      <c r="J15" s="179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78"/>
      <c r="V15" s="178"/>
      <c r="W15" s="178"/>
      <c r="X15" s="178"/>
      <c r="Y15" s="178"/>
      <c r="Z15" s="178"/>
      <c r="AA15" s="178"/>
      <c r="AB15" s="178"/>
      <c r="AC15" s="178"/>
      <c r="AD15" s="184"/>
      <c r="AE15" s="178"/>
      <c r="AF15" s="179"/>
      <c r="AG15" s="179"/>
      <c r="AH15" s="179"/>
    </row>
    <row r="16" spans="2:34" ht="409.5" customHeight="1" x14ac:dyDescent="0.25">
      <c r="B16" s="180"/>
      <c r="C16" s="180"/>
      <c r="D16" s="182"/>
      <c r="E16" s="179"/>
      <c r="F16" s="179"/>
      <c r="G16" s="179"/>
      <c r="H16" s="179"/>
      <c r="I16" s="179"/>
      <c r="J16" s="179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78"/>
      <c r="V16" s="178"/>
      <c r="W16" s="178"/>
      <c r="X16" s="178"/>
      <c r="Y16" s="178"/>
      <c r="Z16" s="178"/>
      <c r="AA16" s="178"/>
      <c r="AB16" s="178"/>
      <c r="AC16" s="178"/>
      <c r="AD16" s="184"/>
      <c r="AE16" s="178"/>
      <c r="AF16" s="179"/>
      <c r="AG16" s="179"/>
      <c r="AH16" s="179"/>
    </row>
    <row r="17" spans="1:50" ht="80.25" customHeight="1" x14ac:dyDescent="0.25">
      <c r="B17" s="183"/>
      <c r="C17" s="183"/>
      <c r="D17" s="160" t="s">
        <v>36</v>
      </c>
      <c r="E17" s="160" t="s">
        <v>36</v>
      </c>
      <c r="F17" s="160" t="s">
        <v>36</v>
      </c>
      <c r="G17" s="160" t="s">
        <v>36</v>
      </c>
      <c r="H17" s="160" t="s">
        <v>36</v>
      </c>
      <c r="I17" s="160" t="s">
        <v>36</v>
      </c>
      <c r="J17" s="160" t="s">
        <v>36</v>
      </c>
      <c r="K17" s="84" t="s">
        <v>37</v>
      </c>
      <c r="L17" s="161" t="s">
        <v>36</v>
      </c>
      <c r="M17" s="161" t="s">
        <v>38</v>
      </c>
      <c r="N17" s="161" t="s">
        <v>36</v>
      </c>
      <c r="O17" s="161" t="s">
        <v>38</v>
      </c>
      <c r="P17" s="161" t="s">
        <v>36</v>
      </c>
      <c r="Q17" s="161" t="s">
        <v>38</v>
      </c>
      <c r="R17" s="161" t="s">
        <v>36</v>
      </c>
      <c r="S17" s="161" t="s">
        <v>39</v>
      </c>
      <c r="T17" s="161" t="s">
        <v>36</v>
      </c>
      <c r="U17" s="161" t="s">
        <v>36</v>
      </c>
      <c r="V17" s="163" t="s">
        <v>36</v>
      </c>
      <c r="W17" s="161" t="s">
        <v>36</v>
      </c>
      <c r="X17" s="161" t="s">
        <v>36</v>
      </c>
      <c r="Y17" s="160" t="s">
        <v>36</v>
      </c>
      <c r="Z17" s="161" t="s">
        <v>36</v>
      </c>
      <c r="AA17" s="161" t="s">
        <v>36</v>
      </c>
      <c r="AB17" s="161" t="s">
        <v>36</v>
      </c>
      <c r="AC17" s="161" t="s">
        <v>36</v>
      </c>
      <c r="AD17" s="160" t="s">
        <v>36</v>
      </c>
      <c r="AE17" s="161" t="s">
        <v>36</v>
      </c>
      <c r="AF17" s="179"/>
      <c r="AG17" s="179"/>
      <c r="AH17" s="179"/>
    </row>
    <row r="18" spans="1:50" ht="59.25" customHeight="1" x14ac:dyDescent="0.25">
      <c r="B18" s="161">
        <v>1</v>
      </c>
      <c r="C18" s="161">
        <v>2</v>
      </c>
      <c r="D18" s="161">
        <v>3</v>
      </c>
      <c r="E18" s="161">
        <v>4</v>
      </c>
      <c r="F18" s="161">
        <v>5</v>
      </c>
      <c r="G18" s="161">
        <v>6</v>
      </c>
      <c r="H18" s="161">
        <v>7</v>
      </c>
      <c r="I18" s="161">
        <v>8</v>
      </c>
      <c r="J18" s="161">
        <v>9</v>
      </c>
      <c r="K18" s="84">
        <v>10</v>
      </c>
      <c r="L18" s="161">
        <v>11</v>
      </c>
      <c r="M18" s="161">
        <v>12</v>
      </c>
      <c r="N18" s="161">
        <v>13</v>
      </c>
      <c r="O18" s="161">
        <v>14</v>
      </c>
      <c r="P18" s="161">
        <v>15</v>
      </c>
      <c r="Q18" s="161">
        <v>16</v>
      </c>
      <c r="R18" s="161">
        <v>17</v>
      </c>
      <c r="S18" s="161">
        <v>18</v>
      </c>
      <c r="T18" s="161">
        <v>19</v>
      </c>
      <c r="U18" s="161">
        <v>20</v>
      </c>
      <c r="V18" s="161">
        <v>21</v>
      </c>
      <c r="W18" s="161">
        <v>22</v>
      </c>
      <c r="X18" s="161">
        <v>23</v>
      </c>
      <c r="Y18" s="161">
        <v>24</v>
      </c>
      <c r="Z18" s="161">
        <v>25</v>
      </c>
      <c r="AA18" s="161">
        <v>26</v>
      </c>
      <c r="AB18" s="161">
        <v>27</v>
      </c>
      <c r="AC18" s="161">
        <v>28</v>
      </c>
      <c r="AD18" s="161">
        <v>29</v>
      </c>
      <c r="AE18" s="161">
        <v>30</v>
      </c>
      <c r="AF18" s="161">
        <v>31</v>
      </c>
      <c r="AG18" s="161">
        <v>32</v>
      </c>
      <c r="AH18" s="161">
        <v>33</v>
      </c>
    </row>
    <row r="19" spans="1:50" ht="99" customHeight="1" x14ac:dyDescent="0.85">
      <c r="B19" s="24" t="s">
        <v>795</v>
      </c>
      <c r="C19" s="75"/>
      <c r="D19" s="30">
        <f t="shared" ref="D19:AE19" si="0">D20+D565+D927</f>
        <v>3277602434.1900005</v>
      </c>
      <c r="E19" s="30">
        <f t="shared" si="0"/>
        <v>10936742.410000002</v>
      </c>
      <c r="F19" s="30">
        <f t="shared" si="0"/>
        <v>14735722.040000001</v>
      </c>
      <c r="G19" s="30">
        <f t="shared" si="0"/>
        <v>109139026.89</v>
      </c>
      <c r="H19" s="30">
        <f t="shared" si="0"/>
        <v>19307951.630000003</v>
      </c>
      <c r="I19" s="30">
        <f t="shared" si="0"/>
        <v>40787214.410000004</v>
      </c>
      <c r="J19" s="30">
        <f t="shared" si="0"/>
        <v>0</v>
      </c>
      <c r="K19" s="90">
        <f t="shared" si="0"/>
        <v>178</v>
      </c>
      <c r="L19" s="30">
        <f t="shared" si="0"/>
        <v>358804627.22000003</v>
      </c>
      <c r="M19" s="30">
        <f t="shared" si="0"/>
        <v>478921.83169511292</v>
      </c>
      <c r="N19" s="30">
        <f t="shared" si="0"/>
        <v>2181444640.7399993</v>
      </c>
      <c r="O19" s="30">
        <f t="shared" si="0"/>
        <v>2803.3</v>
      </c>
      <c r="P19" s="30">
        <f t="shared" si="0"/>
        <v>9800743.6799999997</v>
      </c>
      <c r="Q19" s="30">
        <f t="shared" si="0"/>
        <v>117023.30000000003</v>
      </c>
      <c r="R19" s="30">
        <f t="shared" si="0"/>
        <v>349009434.19</v>
      </c>
      <c r="S19" s="30">
        <f t="shared" si="0"/>
        <v>1073.3699999999999</v>
      </c>
      <c r="T19" s="30">
        <f t="shared" si="0"/>
        <v>25071649.760000002</v>
      </c>
      <c r="U19" s="30">
        <f t="shared" si="0"/>
        <v>30760541.16</v>
      </c>
      <c r="V19" s="30">
        <f t="shared" si="0"/>
        <v>501926.25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41549239.740000002</v>
      </c>
      <c r="AD19" s="30">
        <f t="shared" si="0"/>
        <v>82872974.069999993</v>
      </c>
      <c r="AE19" s="30">
        <f t="shared" si="0"/>
        <v>2880000</v>
      </c>
      <c r="AF19" s="72" t="s">
        <v>794</v>
      </c>
      <c r="AG19" s="72" t="s">
        <v>794</v>
      </c>
      <c r="AH19" s="91" t="s">
        <v>794</v>
      </c>
    </row>
    <row r="20" spans="1:50" ht="87.75" customHeight="1" x14ac:dyDescent="0.85">
      <c r="B20" s="24" t="s">
        <v>796</v>
      </c>
      <c r="C20" s="75"/>
      <c r="D20" s="67">
        <f t="shared" ref="D20:AE20" si="1">D21+D135+D168+D209+D243+D250+D279+D294+D287+D301+D304+D310+D316+D318+D336+D354+D361+D368+D365+D372+D376+D378+D397+D394+D399+D401+D406+D409+D411+D416+D425+D418+D427+D429+D435+D437+D442+D450+D456+D459+D469+D473+D475+D479+D481+D483+D489+D501+D510+D514+D520+D522+D524+D526+D528+D530+D537+D539+D542+D544+D553+D559+D563+D299+D477+D512+D471</f>
        <v>1686794801.2800004</v>
      </c>
      <c r="E20" s="67">
        <f t="shared" si="1"/>
        <v>9104165.4600000009</v>
      </c>
      <c r="F20" s="67">
        <f t="shared" si="1"/>
        <v>11121486.130000001</v>
      </c>
      <c r="G20" s="67">
        <f t="shared" si="1"/>
        <v>94808869.25</v>
      </c>
      <c r="H20" s="67">
        <f t="shared" si="1"/>
        <v>14356185.340000002</v>
      </c>
      <c r="I20" s="67">
        <f t="shared" si="1"/>
        <v>28878643.220000003</v>
      </c>
      <c r="J20" s="67">
        <f t="shared" si="1"/>
        <v>0</v>
      </c>
      <c r="K20" s="92">
        <f t="shared" si="1"/>
        <v>125</v>
      </c>
      <c r="L20" s="67">
        <f t="shared" si="1"/>
        <v>246088186.16000003</v>
      </c>
      <c r="M20" s="67">
        <f t="shared" si="1"/>
        <v>209490.25712089994</v>
      </c>
      <c r="N20" s="67">
        <f t="shared" si="1"/>
        <v>924959119.06999981</v>
      </c>
      <c r="O20" s="67">
        <f t="shared" si="1"/>
        <v>2657.3</v>
      </c>
      <c r="P20" s="67">
        <f t="shared" si="1"/>
        <v>9434804.0700000003</v>
      </c>
      <c r="Q20" s="67">
        <f t="shared" si="1"/>
        <v>87730.050000000032</v>
      </c>
      <c r="R20" s="67">
        <f t="shared" si="1"/>
        <v>258997840.87</v>
      </c>
      <c r="S20" s="67">
        <f t="shared" si="1"/>
        <v>647.6</v>
      </c>
      <c r="T20" s="67">
        <f t="shared" si="1"/>
        <v>10842909.82</v>
      </c>
      <c r="U20" s="67">
        <f t="shared" si="1"/>
        <v>27948066.140000001</v>
      </c>
      <c r="V20" s="67">
        <f t="shared" si="1"/>
        <v>501926.25</v>
      </c>
      <c r="W20" s="67">
        <f t="shared" si="1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20541115.910000008</v>
      </c>
      <c r="AD20" s="67">
        <f t="shared" si="1"/>
        <v>26931483.590000004</v>
      </c>
      <c r="AE20" s="67">
        <f t="shared" si="1"/>
        <v>2280000</v>
      </c>
      <c r="AF20" s="72" t="s">
        <v>794</v>
      </c>
      <c r="AG20" s="72" t="s">
        <v>794</v>
      </c>
      <c r="AH20" s="91" t="s">
        <v>794</v>
      </c>
    </row>
    <row r="21" spans="1:50" ht="61.5" x14ac:dyDescent="0.85">
      <c r="B21" s="24" t="s">
        <v>1159</v>
      </c>
      <c r="C21" s="116"/>
      <c r="D21" s="67">
        <f>SUM(D22:D134)</f>
        <v>383462452.64000016</v>
      </c>
      <c r="E21" s="67">
        <f t="shared" ref="E21:AE21" si="2">SUM(E22:E134)</f>
        <v>241195.1</v>
      </c>
      <c r="F21" s="67">
        <f t="shared" si="2"/>
        <v>0</v>
      </c>
      <c r="G21" s="67">
        <f t="shared" si="2"/>
        <v>0</v>
      </c>
      <c r="H21" s="67">
        <f t="shared" si="2"/>
        <v>395129.82999999996</v>
      </c>
      <c r="I21" s="67">
        <f t="shared" si="2"/>
        <v>0</v>
      </c>
      <c r="J21" s="67">
        <f t="shared" si="2"/>
        <v>0</v>
      </c>
      <c r="K21" s="92">
        <f t="shared" si="2"/>
        <v>29</v>
      </c>
      <c r="L21" s="67">
        <f t="shared" si="2"/>
        <v>59144315.269999996</v>
      </c>
      <c r="M21" s="67">
        <f t="shared" si="2"/>
        <v>57567.619999999995</v>
      </c>
      <c r="N21" s="67">
        <f t="shared" si="2"/>
        <v>222750442.53999999</v>
      </c>
      <c r="O21" s="67">
        <f t="shared" si="2"/>
        <v>1058</v>
      </c>
      <c r="P21" s="67">
        <f t="shared" si="2"/>
        <v>2360078.6100000003</v>
      </c>
      <c r="Q21" s="67">
        <f t="shared" si="2"/>
        <v>29961.979999999996</v>
      </c>
      <c r="R21" s="67">
        <f t="shared" si="2"/>
        <v>83158007.210000008</v>
      </c>
      <c r="S21" s="67">
        <f t="shared" si="2"/>
        <v>0</v>
      </c>
      <c r="T21" s="67">
        <f t="shared" si="2"/>
        <v>0</v>
      </c>
      <c r="U21" s="67">
        <f t="shared" si="2"/>
        <v>5133890</v>
      </c>
      <c r="V21" s="67">
        <f t="shared" si="2"/>
        <v>0</v>
      </c>
      <c r="W21" s="67">
        <f t="shared" si="2"/>
        <v>0</v>
      </c>
      <c r="X21" s="67">
        <f t="shared" si="2"/>
        <v>0</v>
      </c>
      <c r="Y21" s="67">
        <f t="shared" si="2"/>
        <v>0</v>
      </c>
      <c r="Z21" s="67">
        <f t="shared" si="2"/>
        <v>0</v>
      </c>
      <c r="AA21" s="67">
        <f t="shared" si="2"/>
        <v>0</v>
      </c>
      <c r="AB21" s="67">
        <f t="shared" si="2"/>
        <v>0</v>
      </c>
      <c r="AC21" s="67">
        <f t="shared" si="2"/>
        <v>4644033.5899999961</v>
      </c>
      <c r="AD21" s="67">
        <f t="shared" si="2"/>
        <v>5635360.4900000002</v>
      </c>
      <c r="AE21" s="67">
        <f t="shared" si="2"/>
        <v>0</v>
      </c>
      <c r="AF21" s="72" t="s">
        <v>794</v>
      </c>
      <c r="AG21" s="72" t="s">
        <v>794</v>
      </c>
      <c r="AH21" s="91" t="s">
        <v>794</v>
      </c>
    </row>
    <row r="22" spans="1:50" ht="61.5" x14ac:dyDescent="0.85">
      <c r="A22" s="20">
        <v>1</v>
      </c>
      <c r="B22" s="66">
        <f>SUBTOTAL(103,$A$22:A22)</f>
        <v>1</v>
      </c>
      <c r="C22" s="24" t="s">
        <v>498</v>
      </c>
      <c r="D22" s="31">
        <f>E22+F22+G22+H22+I22+J22+L22+N22+P22+R22+T22+U22+V22+W22+X22+Y22+Z22+AA22+AB22+AC22+AD22+AE22</f>
        <v>2167472.79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3">
        <v>0</v>
      </c>
      <c r="L22" s="31">
        <v>0</v>
      </c>
      <c r="M22" s="31">
        <v>522</v>
      </c>
      <c r="N22" s="31">
        <v>2064113.48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f>ROUND(N22*1.5%,2)</f>
        <v>30961.7</v>
      </c>
      <c r="AD22" s="31">
        <v>72397.61</v>
      </c>
      <c r="AE22" s="31">
        <v>0</v>
      </c>
      <c r="AF22" s="34">
        <v>2020</v>
      </c>
      <c r="AG22" s="34">
        <v>2020</v>
      </c>
      <c r="AH22" s="35">
        <v>2020</v>
      </c>
      <c r="AT22" s="20" t="e">
        <f t="shared" ref="AT22:AT53" si="3">VLOOKUP(C22,AW:AX,2,FALSE)</f>
        <v>#N/A</v>
      </c>
      <c r="AW22" s="20" t="s">
        <v>513</v>
      </c>
      <c r="AX22" s="20">
        <v>1</v>
      </c>
    </row>
    <row r="23" spans="1:50" ht="61.5" x14ac:dyDescent="0.85">
      <c r="A23" s="20">
        <v>1</v>
      </c>
      <c r="B23" s="66">
        <f>SUBTOTAL(103,$A$22:A23)</f>
        <v>2</v>
      </c>
      <c r="C23" s="24" t="s">
        <v>1131</v>
      </c>
      <c r="D23" s="31">
        <f t="shared" ref="D23:D78" si="4">E23+F23+G23+H23+I23+J23+L23+N23+P23+R23+T23+U23+V23+W23+X23+Y23+Z23+AA23+AB23+AC23+AD23+AE23</f>
        <v>2182589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1">
        <v>0</v>
      </c>
      <c r="M23" s="31">
        <v>500</v>
      </c>
      <c r="N23" s="31">
        <v>2081368.47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f>ROUND(N23*1.5%,2)</f>
        <v>31220.53</v>
      </c>
      <c r="AD23" s="31">
        <v>70000</v>
      </c>
      <c r="AE23" s="31">
        <v>0</v>
      </c>
      <c r="AF23" s="34">
        <v>2020</v>
      </c>
      <c r="AG23" s="34">
        <v>2020</v>
      </c>
      <c r="AH23" s="35">
        <v>2020</v>
      </c>
      <c r="AT23" s="20" t="e">
        <f t="shared" si="3"/>
        <v>#N/A</v>
      </c>
      <c r="AW23" s="20" t="s">
        <v>408</v>
      </c>
      <c r="AX23" s="20">
        <v>1</v>
      </c>
    </row>
    <row r="24" spans="1:50" ht="61.5" x14ac:dyDescent="0.85">
      <c r="A24" s="20">
        <v>1</v>
      </c>
      <c r="B24" s="66">
        <f>SUBTOTAL(103,$A$22:A24)</f>
        <v>3</v>
      </c>
      <c r="C24" s="24" t="s">
        <v>499</v>
      </c>
      <c r="D24" s="31">
        <f t="shared" si="4"/>
        <v>2146111.33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3">
        <v>1</v>
      </c>
      <c r="L24" s="31">
        <v>2146111.33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4" t="s">
        <v>274</v>
      </c>
      <c r="AG24" s="34">
        <v>2020</v>
      </c>
      <c r="AH24" s="35" t="s">
        <v>274</v>
      </c>
      <c r="AT24" s="20" t="e">
        <f t="shared" si="3"/>
        <v>#N/A</v>
      </c>
      <c r="AW24" s="20" t="s">
        <v>661</v>
      </c>
      <c r="AX24" s="20">
        <v>1</v>
      </c>
    </row>
    <row r="25" spans="1:50" ht="61.5" x14ac:dyDescent="0.85">
      <c r="A25" s="20">
        <v>1</v>
      </c>
      <c r="B25" s="66">
        <f>SUBTOTAL(103,$A$22:A25)</f>
        <v>4</v>
      </c>
      <c r="C25" s="24" t="s">
        <v>500</v>
      </c>
      <c r="D25" s="31">
        <f t="shared" si="4"/>
        <v>2530096.7899999996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3">
        <v>0</v>
      </c>
      <c r="L25" s="31">
        <v>0</v>
      </c>
      <c r="M25" s="31">
        <v>600</v>
      </c>
      <c r="N25" s="31">
        <v>2392486.84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f t="shared" ref="AC25:AC26" si="5">ROUND(N25*1.5%,2)</f>
        <v>35887.300000000003</v>
      </c>
      <c r="AD25" s="31">
        <v>101722.65</v>
      </c>
      <c r="AE25" s="31">
        <v>0</v>
      </c>
      <c r="AF25" s="34">
        <v>2020</v>
      </c>
      <c r="AG25" s="34">
        <v>2020</v>
      </c>
      <c r="AH25" s="35">
        <v>2020</v>
      </c>
      <c r="AT25" s="20" t="e">
        <f t="shared" si="3"/>
        <v>#N/A</v>
      </c>
      <c r="AW25" s="20" t="s">
        <v>49</v>
      </c>
      <c r="AX25" s="20">
        <v>1</v>
      </c>
    </row>
    <row r="26" spans="1:50" ht="61.5" x14ac:dyDescent="0.85">
      <c r="A26" s="20">
        <v>1</v>
      </c>
      <c r="B26" s="66">
        <f>SUBTOTAL(103,$A$22:A26)</f>
        <v>5</v>
      </c>
      <c r="C26" s="24" t="s">
        <v>501</v>
      </c>
      <c r="D26" s="31">
        <f t="shared" si="4"/>
        <v>3370794.11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3">
        <v>0</v>
      </c>
      <c r="L26" s="31">
        <v>0</v>
      </c>
      <c r="M26" s="31">
        <v>790</v>
      </c>
      <c r="N26" s="31">
        <v>3219761.56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f t="shared" si="5"/>
        <v>48296.42</v>
      </c>
      <c r="AD26" s="31">
        <v>102736.13</v>
      </c>
      <c r="AE26" s="31">
        <v>0</v>
      </c>
      <c r="AF26" s="34">
        <v>2020</v>
      </c>
      <c r="AG26" s="34">
        <v>2020</v>
      </c>
      <c r="AH26" s="35">
        <v>2020</v>
      </c>
      <c r="AT26" s="20" t="e">
        <f t="shared" si="3"/>
        <v>#N/A</v>
      </c>
      <c r="AW26" s="20" t="s">
        <v>419</v>
      </c>
      <c r="AX26" s="20">
        <v>1</v>
      </c>
    </row>
    <row r="27" spans="1:50" ht="61.5" x14ac:dyDescent="0.85">
      <c r="A27" s="20">
        <v>1</v>
      </c>
      <c r="B27" s="66">
        <f>SUBTOTAL(103,$A$22:A27)</f>
        <v>6</v>
      </c>
      <c r="C27" s="24" t="s">
        <v>502</v>
      </c>
      <c r="D27" s="31">
        <f t="shared" si="4"/>
        <v>2010905.54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3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412.3</v>
      </c>
      <c r="R27" s="31">
        <v>1912222.21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f>ROUND(R27*1.5%,2)</f>
        <v>28683.33</v>
      </c>
      <c r="AD27" s="31">
        <v>70000</v>
      </c>
      <c r="AE27" s="31">
        <v>0</v>
      </c>
      <c r="AF27" s="34">
        <v>2020</v>
      </c>
      <c r="AG27" s="34">
        <v>2020</v>
      </c>
      <c r="AH27" s="35">
        <v>2020</v>
      </c>
      <c r="AT27" s="20" t="e">
        <f t="shared" si="3"/>
        <v>#N/A</v>
      </c>
      <c r="AW27" s="20" t="s">
        <v>655</v>
      </c>
      <c r="AX27" s="20">
        <v>1</v>
      </c>
    </row>
    <row r="28" spans="1:50" ht="61.5" x14ac:dyDescent="0.85">
      <c r="A28" s="20">
        <v>1</v>
      </c>
      <c r="B28" s="66">
        <f>SUBTOTAL(103,$A$22:A28)</f>
        <v>7</v>
      </c>
      <c r="C28" s="24" t="s">
        <v>503</v>
      </c>
      <c r="D28" s="31">
        <f t="shared" si="4"/>
        <v>2376623.19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3">
        <v>0</v>
      </c>
      <c r="L28" s="31">
        <v>0</v>
      </c>
      <c r="M28" s="31">
        <v>557</v>
      </c>
      <c r="N28" s="31">
        <v>2267609.0499999998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f t="shared" ref="AC28:AC34" si="6">ROUND(N28*1.5%,2)</f>
        <v>34014.14</v>
      </c>
      <c r="AD28" s="31">
        <v>75000</v>
      </c>
      <c r="AE28" s="31">
        <v>0</v>
      </c>
      <c r="AF28" s="34">
        <v>2020</v>
      </c>
      <c r="AG28" s="34">
        <v>2020</v>
      </c>
      <c r="AH28" s="35">
        <v>2020</v>
      </c>
      <c r="AT28" s="20" t="e">
        <f t="shared" si="3"/>
        <v>#N/A</v>
      </c>
      <c r="AW28" s="20" t="s">
        <v>654</v>
      </c>
      <c r="AX28" s="20">
        <v>1</v>
      </c>
    </row>
    <row r="29" spans="1:50" ht="61.5" x14ac:dyDescent="0.85">
      <c r="A29" s="20">
        <v>1</v>
      </c>
      <c r="B29" s="66">
        <f>SUBTOTAL(103,$A$22:A29)</f>
        <v>8</v>
      </c>
      <c r="C29" s="24" t="s">
        <v>504</v>
      </c>
      <c r="D29" s="31">
        <f t="shared" si="4"/>
        <v>3923557.16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3">
        <v>0</v>
      </c>
      <c r="L29" s="31">
        <v>0</v>
      </c>
      <c r="M29" s="31">
        <v>932</v>
      </c>
      <c r="N29" s="31">
        <v>3767051.39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f t="shared" si="6"/>
        <v>56505.77</v>
      </c>
      <c r="AD29" s="31">
        <v>100000</v>
      </c>
      <c r="AE29" s="31">
        <v>0</v>
      </c>
      <c r="AF29" s="34">
        <v>2020</v>
      </c>
      <c r="AG29" s="34">
        <v>2020</v>
      </c>
      <c r="AH29" s="35">
        <v>2020</v>
      </c>
      <c r="AT29" s="20" t="e">
        <f t="shared" si="3"/>
        <v>#N/A</v>
      </c>
      <c r="AW29" s="20" t="s">
        <v>659</v>
      </c>
      <c r="AX29" s="20">
        <v>1</v>
      </c>
    </row>
    <row r="30" spans="1:50" ht="61.5" x14ac:dyDescent="0.85">
      <c r="A30" s="20">
        <v>1</v>
      </c>
      <c r="B30" s="66">
        <f>SUBTOTAL(103,$A$22:A30)</f>
        <v>9</v>
      </c>
      <c r="C30" s="24" t="s">
        <v>505</v>
      </c>
      <c r="D30" s="31">
        <f t="shared" si="4"/>
        <v>2869655.8400000003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1">
        <v>0</v>
      </c>
      <c r="M30" s="31">
        <v>604</v>
      </c>
      <c r="N30" s="31">
        <v>2758281.62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f t="shared" si="6"/>
        <v>41374.22</v>
      </c>
      <c r="AD30" s="31">
        <v>70000</v>
      </c>
      <c r="AE30" s="31">
        <v>0</v>
      </c>
      <c r="AF30" s="34">
        <v>2020</v>
      </c>
      <c r="AG30" s="34">
        <v>2020</v>
      </c>
      <c r="AH30" s="35">
        <v>2020</v>
      </c>
      <c r="AT30" s="20" t="e">
        <f t="shared" si="3"/>
        <v>#N/A</v>
      </c>
      <c r="AW30" s="20" t="s">
        <v>240</v>
      </c>
      <c r="AX30" s="20">
        <v>1</v>
      </c>
    </row>
    <row r="31" spans="1:50" ht="61.5" x14ac:dyDescent="0.85">
      <c r="A31" s="20">
        <v>1</v>
      </c>
      <c r="B31" s="66">
        <f>SUBTOTAL(103,$A$22:A31)</f>
        <v>10</v>
      </c>
      <c r="C31" s="24" t="s">
        <v>506</v>
      </c>
      <c r="D31" s="31">
        <f t="shared" si="4"/>
        <v>1485498.48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3">
        <v>0</v>
      </c>
      <c r="L31" s="31">
        <v>0</v>
      </c>
      <c r="M31" s="31">
        <v>360</v>
      </c>
      <c r="N31" s="31">
        <v>1394579.78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f t="shared" si="6"/>
        <v>20918.7</v>
      </c>
      <c r="AD31" s="31">
        <v>70000</v>
      </c>
      <c r="AE31" s="31">
        <v>0</v>
      </c>
      <c r="AF31" s="34">
        <v>2020</v>
      </c>
      <c r="AG31" s="34">
        <v>2020</v>
      </c>
      <c r="AH31" s="35">
        <v>2020</v>
      </c>
      <c r="AT31" s="20" t="e">
        <f t="shared" si="3"/>
        <v>#N/A</v>
      </c>
      <c r="AW31" s="20" t="s">
        <v>130</v>
      </c>
      <c r="AX31" s="20">
        <v>1</v>
      </c>
    </row>
    <row r="32" spans="1:50" ht="61.5" x14ac:dyDescent="0.85">
      <c r="A32" s="20">
        <v>1</v>
      </c>
      <c r="B32" s="66">
        <f>SUBTOTAL(103,$A$22:A32)</f>
        <v>11</v>
      </c>
      <c r="C32" s="24" t="s">
        <v>507</v>
      </c>
      <c r="D32" s="31">
        <f t="shared" si="4"/>
        <v>2576347.41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1">
        <v>0</v>
      </c>
      <c r="M32" s="31">
        <v>612</v>
      </c>
      <c r="N32" s="31">
        <v>2439751.14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f t="shared" si="6"/>
        <v>36596.269999999997</v>
      </c>
      <c r="AD32" s="31">
        <v>100000</v>
      </c>
      <c r="AE32" s="31">
        <v>0</v>
      </c>
      <c r="AF32" s="34">
        <v>2020</v>
      </c>
      <c r="AG32" s="34">
        <v>2020</v>
      </c>
      <c r="AH32" s="35">
        <v>2020</v>
      </c>
      <c r="AT32" s="20" t="e">
        <f t="shared" si="3"/>
        <v>#N/A</v>
      </c>
      <c r="AW32" s="20" t="s">
        <v>449</v>
      </c>
      <c r="AX32" s="20">
        <v>1</v>
      </c>
    </row>
    <row r="33" spans="1:50" ht="61.5" x14ac:dyDescent="0.85">
      <c r="A33" s="20">
        <v>1</v>
      </c>
      <c r="B33" s="66">
        <f>SUBTOTAL(103,$A$22:A33)</f>
        <v>12</v>
      </c>
      <c r="C33" s="24" t="s">
        <v>508</v>
      </c>
      <c r="D33" s="31">
        <f t="shared" si="4"/>
        <v>5275854.7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1">
        <v>0</v>
      </c>
      <c r="M33" s="31">
        <v>1248.2</v>
      </c>
      <c r="N33" s="31">
        <v>5050103.1500000004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f t="shared" si="6"/>
        <v>75751.55</v>
      </c>
      <c r="AD33" s="31">
        <v>150000</v>
      </c>
      <c r="AE33" s="31">
        <v>0</v>
      </c>
      <c r="AF33" s="34">
        <v>2020</v>
      </c>
      <c r="AG33" s="34">
        <v>2020</v>
      </c>
      <c r="AH33" s="35">
        <v>2020</v>
      </c>
      <c r="AT33" s="20" t="e">
        <f t="shared" si="3"/>
        <v>#N/A</v>
      </c>
      <c r="AW33" s="20" t="s">
        <v>830</v>
      </c>
      <c r="AX33" s="20">
        <v>1</v>
      </c>
    </row>
    <row r="34" spans="1:50" ht="61.5" x14ac:dyDescent="0.85">
      <c r="A34" s="20">
        <v>1</v>
      </c>
      <c r="B34" s="66">
        <f>SUBTOTAL(103,$A$22:A34)</f>
        <v>13</v>
      </c>
      <c r="C34" s="24" t="s">
        <v>509</v>
      </c>
      <c r="D34" s="31">
        <f t="shared" si="4"/>
        <v>3988265.4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1">
        <v>0</v>
      </c>
      <c r="M34" s="31">
        <v>947.4</v>
      </c>
      <c r="N34" s="31">
        <v>3830803.35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f t="shared" si="6"/>
        <v>57462.05</v>
      </c>
      <c r="AD34" s="31">
        <v>100000</v>
      </c>
      <c r="AE34" s="31">
        <v>0</v>
      </c>
      <c r="AF34" s="34">
        <v>2020</v>
      </c>
      <c r="AG34" s="34">
        <v>2020</v>
      </c>
      <c r="AH34" s="35">
        <v>2020</v>
      </c>
      <c r="AT34" s="20" t="e">
        <f t="shared" si="3"/>
        <v>#N/A</v>
      </c>
      <c r="AW34" s="20" t="s">
        <v>829</v>
      </c>
      <c r="AX34" s="20">
        <v>1</v>
      </c>
    </row>
    <row r="35" spans="1:50" ht="61.5" x14ac:dyDescent="0.85">
      <c r="A35" s="20">
        <v>1</v>
      </c>
      <c r="B35" s="66">
        <f>SUBTOTAL(103,$A$22:A35)</f>
        <v>14</v>
      </c>
      <c r="C35" s="24" t="s">
        <v>510</v>
      </c>
      <c r="D35" s="31">
        <f t="shared" si="4"/>
        <v>1785060.8199999998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370.8</v>
      </c>
      <c r="R35" s="31">
        <v>1660158.44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f>ROUND(R35*1.5%,2)</f>
        <v>24902.38</v>
      </c>
      <c r="AD35" s="31">
        <v>100000</v>
      </c>
      <c r="AE35" s="31">
        <v>0</v>
      </c>
      <c r="AF35" s="34">
        <v>2020</v>
      </c>
      <c r="AG35" s="34">
        <v>2020</v>
      </c>
      <c r="AH35" s="35">
        <v>2020</v>
      </c>
      <c r="AT35" s="20" t="e">
        <f t="shared" si="3"/>
        <v>#N/A</v>
      </c>
      <c r="AW35" s="20" t="s">
        <v>856</v>
      </c>
      <c r="AX35" s="20">
        <v>1</v>
      </c>
    </row>
    <row r="36" spans="1:50" ht="61.5" x14ac:dyDescent="0.85">
      <c r="A36" s="20">
        <v>1</v>
      </c>
      <c r="B36" s="66">
        <f>SUBTOTAL(103,$A$22:A36)</f>
        <v>15</v>
      </c>
      <c r="C36" s="24" t="s">
        <v>511</v>
      </c>
      <c r="D36" s="31">
        <f t="shared" si="4"/>
        <v>2688101.64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1">
        <v>0</v>
      </c>
      <c r="M36" s="31">
        <v>630</v>
      </c>
      <c r="N36" s="31">
        <v>2549853.83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f t="shared" ref="AC36:AC37" si="7">ROUND(N36*1.5%,2)</f>
        <v>38247.81</v>
      </c>
      <c r="AD36" s="31">
        <v>100000</v>
      </c>
      <c r="AE36" s="31">
        <v>0</v>
      </c>
      <c r="AF36" s="34">
        <v>2020</v>
      </c>
      <c r="AG36" s="34">
        <v>2020</v>
      </c>
      <c r="AH36" s="35">
        <v>2020</v>
      </c>
      <c r="AT36" s="20" t="e">
        <f t="shared" si="3"/>
        <v>#N/A</v>
      </c>
      <c r="AW36" s="20" t="s">
        <v>710</v>
      </c>
      <c r="AX36" s="20">
        <v>1</v>
      </c>
    </row>
    <row r="37" spans="1:50" ht="61.5" x14ac:dyDescent="0.85">
      <c r="A37" s="20">
        <v>1</v>
      </c>
      <c r="B37" s="66">
        <f>SUBTOTAL(103,$A$22:A37)</f>
        <v>16</v>
      </c>
      <c r="C37" s="24" t="s">
        <v>512</v>
      </c>
      <c r="D37" s="31">
        <f t="shared" si="4"/>
        <v>4308763.3600000003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3">
        <v>0</v>
      </c>
      <c r="L37" s="31">
        <v>0</v>
      </c>
      <c r="M37" s="31">
        <v>1199</v>
      </c>
      <c r="N37" s="31">
        <v>4146564.89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f t="shared" si="7"/>
        <v>62198.47</v>
      </c>
      <c r="AD37" s="31">
        <v>100000</v>
      </c>
      <c r="AE37" s="31">
        <v>0</v>
      </c>
      <c r="AF37" s="34">
        <v>2020</v>
      </c>
      <c r="AG37" s="34">
        <v>2020</v>
      </c>
      <c r="AH37" s="35">
        <v>2020</v>
      </c>
      <c r="AT37" s="20" t="e">
        <f t="shared" si="3"/>
        <v>#N/A</v>
      </c>
      <c r="AW37" s="20" t="s">
        <v>226</v>
      </c>
      <c r="AX37" s="20">
        <v>1</v>
      </c>
    </row>
    <row r="38" spans="1:50" ht="61.5" x14ac:dyDescent="0.85">
      <c r="A38" s="20">
        <v>1</v>
      </c>
      <c r="B38" s="66">
        <f>SUBTOTAL(103,$A$22:A38)</f>
        <v>17</v>
      </c>
      <c r="C38" s="24" t="s">
        <v>513</v>
      </c>
      <c r="D38" s="31">
        <f t="shared" si="4"/>
        <v>17545640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8</v>
      </c>
      <c r="L38" s="31">
        <v>17545640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4" t="s">
        <v>274</v>
      </c>
      <c r="AG38" s="34">
        <v>2020</v>
      </c>
      <c r="AH38" s="35" t="s">
        <v>274</v>
      </c>
      <c r="AT38" s="20">
        <f t="shared" si="3"/>
        <v>1</v>
      </c>
    </row>
    <row r="39" spans="1:50" ht="61.5" x14ac:dyDescent="0.85">
      <c r="A39" s="20">
        <v>1</v>
      </c>
      <c r="B39" s="66">
        <f>SUBTOTAL(103,$A$22:A39)</f>
        <v>18</v>
      </c>
      <c r="C39" s="24" t="s">
        <v>514</v>
      </c>
      <c r="D39" s="31">
        <f t="shared" si="4"/>
        <v>1011238.23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1">
        <v>0</v>
      </c>
      <c r="M39" s="31">
        <v>237</v>
      </c>
      <c r="N39" s="31">
        <v>897771.66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f t="shared" ref="AC39:AC42" si="8">ROUND(N39*1.5%,2)</f>
        <v>13466.57</v>
      </c>
      <c r="AD39" s="31">
        <v>100000</v>
      </c>
      <c r="AE39" s="31">
        <v>0</v>
      </c>
      <c r="AF39" s="34">
        <v>2020</v>
      </c>
      <c r="AG39" s="34">
        <v>2020</v>
      </c>
      <c r="AH39" s="35">
        <v>2020</v>
      </c>
      <c r="AT39" s="20" t="e">
        <f t="shared" si="3"/>
        <v>#N/A</v>
      </c>
    </row>
    <row r="40" spans="1:50" ht="61.5" x14ac:dyDescent="0.85">
      <c r="A40" s="20">
        <v>1</v>
      </c>
      <c r="B40" s="66">
        <f>SUBTOTAL(103,$A$22:A40)</f>
        <v>19</v>
      </c>
      <c r="C40" s="24" t="s">
        <v>515</v>
      </c>
      <c r="D40" s="31">
        <f t="shared" si="4"/>
        <v>3680432.55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1">
        <v>0</v>
      </c>
      <c r="M40" s="31">
        <v>1020</v>
      </c>
      <c r="N40" s="31">
        <v>3527519.75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f t="shared" si="8"/>
        <v>52912.800000000003</v>
      </c>
      <c r="AD40" s="31">
        <v>100000</v>
      </c>
      <c r="AE40" s="31">
        <v>0</v>
      </c>
      <c r="AF40" s="34">
        <v>2020</v>
      </c>
      <c r="AG40" s="34">
        <v>2020</v>
      </c>
      <c r="AH40" s="35">
        <v>2020</v>
      </c>
      <c r="AT40" s="20" t="e">
        <f t="shared" si="3"/>
        <v>#N/A</v>
      </c>
    </row>
    <row r="41" spans="1:50" ht="61.5" x14ac:dyDescent="0.85">
      <c r="A41" s="20">
        <v>1</v>
      </c>
      <c r="B41" s="66">
        <f>SUBTOTAL(103,$A$22:A41)</f>
        <v>20</v>
      </c>
      <c r="C41" s="24" t="s">
        <v>516</v>
      </c>
      <c r="D41" s="31">
        <f t="shared" si="4"/>
        <v>1493389.79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1">
        <v>0</v>
      </c>
      <c r="M41" s="31">
        <v>350</v>
      </c>
      <c r="N41" s="31">
        <v>1372797.82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f t="shared" si="8"/>
        <v>20591.97</v>
      </c>
      <c r="AD41" s="31">
        <v>100000</v>
      </c>
      <c r="AE41" s="31">
        <v>0</v>
      </c>
      <c r="AF41" s="34">
        <v>2020</v>
      </c>
      <c r="AG41" s="34">
        <v>2020</v>
      </c>
      <c r="AH41" s="35">
        <v>2020</v>
      </c>
      <c r="AT41" s="20" t="e">
        <f t="shared" si="3"/>
        <v>#N/A</v>
      </c>
    </row>
    <row r="42" spans="1:50" ht="61.5" x14ac:dyDescent="0.85">
      <c r="A42" s="20">
        <v>1</v>
      </c>
      <c r="B42" s="66">
        <f>SUBTOTAL(103,$A$22:A42)</f>
        <v>21</v>
      </c>
      <c r="C42" s="24" t="s">
        <v>517</v>
      </c>
      <c r="D42" s="31">
        <f t="shared" si="4"/>
        <v>3225721.96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3">
        <v>0</v>
      </c>
      <c r="L42" s="31">
        <v>0</v>
      </c>
      <c r="M42" s="31">
        <v>756</v>
      </c>
      <c r="N42" s="31">
        <v>3079529.02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f t="shared" si="8"/>
        <v>46192.94</v>
      </c>
      <c r="AD42" s="31">
        <v>100000</v>
      </c>
      <c r="AE42" s="31">
        <v>0</v>
      </c>
      <c r="AF42" s="34">
        <v>2020</v>
      </c>
      <c r="AG42" s="34">
        <v>2020</v>
      </c>
      <c r="AH42" s="35">
        <v>2020</v>
      </c>
      <c r="AT42" s="20" t="e">
        <f t="shared" si="3"/>
        <v>#N/A</v>
      </c>
    </row>
    <row r="43" spans="1:50" ht="61.5" x14ac:dyDescent="0.85">
      <c r="A43" s="20">
        <v>1</v>
      </c>
      <c r="B43" s="66">
        <f>SUBTOTAL(103,$A$22:A43)</f>
        <v>22</v>
      </c>
      <c r="C43" s="24" t="s">
        <v>518</v>
      </c>
      <c r="D43" s="31">
        <f t="shared" si="4"/>
        <v>6662526.4900000002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3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2002</v>
      </c>
      <c r="R43" s="31">
        <v>6445838.9100000001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f>ROUND(R43*1.5%,2)</f>
        <v>96687.58</v>
      </c>
      <c r="AD43" s="31">
        <v>120000</v>
      </c>
      <c r="AE43" s="31">
        <v>0</v>
      </c>
      <c r="AF43" s="34">
        <v>2020</v>
      </c>
      <c r="AG43" s="34">
        <v>2020</v>
      </c>
      <c r="AH43" s="35">
        <v>2020</v>
      </c>
      <c r="AT43" s="20" t="e">
        <f t="shared" si="3"/>
        <v>#N/A</v>
      </c>
    </row>
    <row r="44" spans="1:50" ht="61.5" x14ac:dyDescent="0.85">
      <c r="A44" s="20">
        <v>1</v>
      </c>
      <c r="B44" s="66">
        <f>SUBTOTAL(103,$A$22:A44)</f>
        <v>23</v>
      </c>
      <c r="C44" s="24" t="s">
        <v>519</v>
      </c>
      <c r="D44" s="31">
        <f t="shared" si="4"/>
        <v>4466002.71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1">
        <v>0</v>
      </c>
      <c r="M44" s="31">
        <v>1058.4000000000001</v>
      </c>
      <c r="N44" s="31">
        <v>4301480.5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f t="shared" ref="AC44:AC50" si="9">ROUND(N44*1.5%,2)</f>
        <v>64522.21</v>
      </c>
      <c r="AD44" s="31">
        <v>100000</v>
      </c>
      <c r="AE44" s="31">
        <v>0</v>
      </c>
      <c r="AF44" s="34">
        <v>2020</v>
      </c>
      <c r="AG44" s="34">
        <v>2020</v>
      </c>
      <c r="AH44" s="35">
        <v>2020</v>
      </c>
      <c r="AT44" s="20" t="e">
        <f t="shared" si="3"/>
        <v>#N/A</v>
      </c>
    </row>
    <row r="45" spans="1:50" ht="61.5" x14ac:dyDescent="0.85">
      <c r="A45" s="20">
        <v>1</v>
      </c>
      <c r="B45" s="66">
        <f>SUBTOTAL(103,$A$22:A45)</f>
        <v>24</v>
      </c>
      <c r="C45" s="24" t="s">
        <v>520</v>
      </c>
      <c r="D45" s="31">
        <f t="shared" si="4"/>
        <v>2419201.9300000002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3">
        <v>0</v>
      </c>
      <c r="L45" s="31">
        <v>0</v>
      </c>
      <c r="M45" s="31">
        <v>574.01</v>
      </c>
      <c r="N45" s="31">
        <v>2314484.66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f t="shared" si="9"/>
        <v>34717.269999999997</v>
      </c>
      <c r="AD45" s="31">
        <v>70000</v>
      </c>
      <c r="AE45" s="31">
        <v>0</v>
      </c>
      <c r="AF45" s="34">
        <v>2020</v>
      </c>
      <c r="AG45" s="34">
        <v>2020</v>
      </c>
      <c r="AH45" s="35">
        <v>2020</v>
      </c>
      <c r="AT45" s="20" t="e">
        <f t="shared" si="3"/>
        <v>#N/A</v>
      </c>
    </row>
    <row r="46" spans="1:50" ht="61.5" x14ac:dyDescent="0.85">
      <c r="A46" s="20">
        <v>1</v>
      </c>
      <c r="B46" s="66">
        <f>SUBTOTAL(103,$A$22:A46)</f>
        <v>25</v>
      </c>
      <c r="C46" s="24" t="s">
        <v>521</v>
      </c>
      <c r="D46" s="31">
        <f t="shared" si="4"/>
        <v>4747116.5999999996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>
        <v>0</v>
      </c>
      <c r="L46" s="31">
        <v>0</v>
      </c>
      <c r="M46" s="31">
        <v>1136</v>
      </c>
      <c r="N46" s="31">
        <v>4578440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f t="shared" si="9"/>
        <v>68676.600000000006</v>
      </c>
      <c r="AD46" s="31">
        <v>100000</v>
      </c>
      <c r="AE46" s="31">
        <v>0</v>
      </c>
      <c r="AF46" s="34">
        <v>2020</v>
      </c>
      <c r="AG46" s="34">
        <v>2020</v>
      </c>
      <c r="AH46" s="35">
        <v>2020</v>
      </c>
      <c r="AT46" s="20" t="e">
        <f t="shared" si="3"/>
        <v>#N/A</v>
      </c>
    </row>
    <row r="47" spans="1:50" ht="61.5" x14ac:dyDescent="0.85">
      <c r="A47" s="20">
        <v>1</v>
      </c>
      <c r="B47" s="66">
        <f>SUBTOTAL(103,$A$22:A47)</f>
        <v>26</v>
      </c>
      <c r="C47" s="24" t="s">
        <v>522</v>
      </c>
      <c r="D47" s="31">
        <f t="shared" si="4"/>
        <v>1318744.33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1">
        <v>0</v>
      </c>
      <c r="M47" s="31">
        <v>316.10000000000002</v>
      </c>
      <c r="N47" s="31">
        <v>1230289.98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f t="shared" si="9"/>
        <v>18454.349999999999</v>
      </c>
      <c r="AD47" s="31">
        <v>70000</v>
      </c>
      <c r="AE47" s="31">
        <v>0</v>
      </c>
      <c r="AF47" s="34">
        <v>2020</v>
      </c>
      <c r="AG47" s="34">
        <v>2020</v>
      </c>
      <c r="AH47" s="35">
        <v>2020</v>
      </c>
      <c r="AT47" s="20" t="e">
        <f t="shared" si="3"/>
        <v>#N/A</v>
      </c>
    </row>
    <row r="48" spans="1:50" ht="61.5" x14ac:dyDescent="0.85">
      <c r="A48" s="20">
        <v>1</v>
      </c>
      <c r="B48" s="66">
        <f>SUBTOTAL(103,$A$22:A48)</f>
        <v>27</v>
      </c>
      <c r="C48" s="24" t="s">
        <v>523</v>
      </c>
      <c r="D48" s="31">
        <f t="shared" si="4"/>
        <v>1791261.3800000001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3">
        <v>0</v>
      </c>
      <c r="L48" s="31">
        <v>0</v>
      </c>
      <c r="M48" s="31">
        <v>432.6</v>
      </c>
      <c r="N48" s="31">
        <v>1695824.02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f t="shared" si="9"/>
        <v>25437.360000000001</v>
      </c>
      <c r="AD48" s="31">
        <v>70000</v>
      </c>
      <c r="AE48" s="31">
        <v>0</v>
      </c>
      <c r="AF48" s="34">
        <v>2020</v>
      </c>
      <c r="AG48" s="34">
        <v>2020</v>
      </c>
      <c r="AH48" s="35">
        <v>2020</v>
      </c>
      <c r="AT48" s="20" t="e">
        <f t="shared" si="3"/>
        <v>#N/A</v>
      </c>
    </row>
    <row r="49" spans="1:46" ht="61.5" x14ac:dyDescent="0.85">
      <c r="A49" s="20">
        <v>1</v>
      </c>
      <c r="B49" s="66">
        <f>SUBTOTAL(103,$A$22:A49)</f>
        <v>28</v>
      </c>
      <c r="C49" s="24" t="s">
        <v>524</v>
      </c>
      <c r="D49" s="31">
        <f t="shared" si="4"/>
        <v>2411249.27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3">
        <v>0</v>
      </c>
      <c r="L49" s="31">
        <v>0</v>
      </c>
      <c r="M49" s="31">
        <v>605</v>
      </c>
      <c r="N49" s="31">
        <v>2277092.88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f t="shared" si="9"/>
        <v>34156.39</v>
      </c>
      <c r="AD49" s="31">
        <v>100000</v>
      </c>
      <c r="AE49" s="31">
        <v>0</v>
      </c>
      <c r="AF49" s="34">
        <v>2020</v>
      </c>
      <c r="AG49" s="34">
        <v>2020</v>
      </c>
      <c r="AH49" s="35">
        <v>2020</v>
      </c>
      <c r="AT49" s="20" t="e">
        <f t="shared" si="3"/>
        <v>#N/A</v>
      </c>
    </row>
    <row r="50" spans="1:46" ht="61.5" x14ac:dyDescent="0.85">
      <c r="A50" s="20">
        <v>1</v>
      </c>
      <c r="B50" s="66">
        <f>SUBTOTAL(103,$A$22:A50)</f>
        <v>29</v>
      </c>
      <c r="C50" s="24" t="s">
        <v>525</v>
      </c>
      <c r="D50" s="31">
        <f t="shared" si="4"/>
        <v>3283580.04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0</v>
      </c>
      <c r="L50" s="31">
        <v>0</v>
      </c>
      <c r="M50" s="31">
        <v>780</v>
      </c>
      <c r="N50" s="31">
        <v>3136532.06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f t="shared" si="9"/>
        <v>47047.98</v>
      </c>
      <c r="AD50" s="31">
        <v>100000</v>
      </c>
      <c r="AE50" s="31">
        <v>0</v>
      </c>
      <c r="AF50" s="34">
        <v>2020</v>
      </c>
      <c r="AG50" s="34">
        <v>2020</v>
      </c>
      <c r="AH50" s="35">
        <v>2020</v>
      </c>
      <c r="AT50" s="20" t="e">
        <f t="shared" si="3"/>
        <v>#N/A</v>
      </c>
    </row>
    <row r="51" spans="1:46" ht="61.5" x14ac:dyDescent="0.85">
      <c r="A51" s="20">
        <v>1</v>
      </c>
      <c r="B51" s="66">
        <f>SUBTOTAL(103,$A$22:A51)</f>
        <v>30</v>
      </c>
      <c r="C51" s="24" t="s">
        <v>526</v>
      </c>
      <c r="D51" s="31">
        <f t="shared" si="4"/>
        <v>14930979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7</v>
      </c>
      <c r="L51" s="31">
        <v>14930979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4" t="s">
        <v>274</v>
      </c>
      <c r="AG51" s="34">
        <v>2020</v>
      </c>
      <c r="AH51" s="35" t="s">
        <v>274</v>
      </c>
      <c r="AT51" s="20" t="e">
        <f t="shared" si="3"/>
        <v>#N/A</v>
      </c>
    </row>
    <row r="52" spans="1:46" ht="61.5" x14ac:dyDescent="0.85">
      <c r="A52" s="20">
        <v>1</v>
      </c>
      <c r="B52" s="66">
        <f>SUBTOTAL(103,$A$22:A52)</f>
        <v>31</v>
      </c>
      <c r="C52" s="24" t="s">
        <v>527</v>
      </c>
      <c r="D52" s="31">
        <f t="shared" si="4"/>
        <v>4260892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3">
        <v>2</v>
      </c>
      <c r="L52" s="31">
        <v>4260892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4" t="s">
        <v>274</v>
      </c>
      <c r="AG52" s="34">
        <v>2020</v>
      </c>
      <c r="AH52" s="35" t="s">
        <v>274</v>
      </c>
      <c r="AT52" s="20" t="e">
        <f t="shared" si="3"/>
        <v>#N/A</v>
      </c>
    </row>
    <row r="53" spans="1:46" ht="61.5" x14ac:dyDescent="0.85">
      <c r="A53" s="20">
        <v>1</v>
      </c>
      <c r="B53" s="66">
        <f>SUBTOTAL(103,$A$22:A53)</f>
        <v>32</v>
      </c>
      <c r="C53" s="24" t="s">
        <v>528</v>
      </c>
      <c r="D53" s="31">
        <f t="shared" si="4"/>
        <v>2178303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3">
        <v>1</v>
      </c>
      <c r="L53" s="31">
        <v>2178303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4" t="s">
        <v>274</v>
      </c>
      <c r="AG53" s="34">
        <v>2020</v>
      </c>
      <c r="AH53" s="35" t="s">
        <v>274</v>
      </c>
      <c r="AT53" s="20" t="e">
        <f t="shared" si="3"/>
        <v>#N/A</v>
      </c>
    </row>
    <row r="54" spans="1:46" ht="61.5" x14ac:dyDescent="0.85">
      <c r="A54" s="20">
        <v>1</v>
      </c>
      <c r="B54" s="66">
        <f>SUBTOTAL(103,$A$22:A54)</f>
        <v>33</v>
      </c>
      <c r="C54" s="24" t="s">
        <v>529</v>
      </c>
      <c r="D54" s="31">
        <f t="shared" si="4"/>
        <v>4396606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3">
        <v>2</v>
      </c>
      <c r="L54" s="31">
        <v>4396606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4" t="s">
        <v>274</v>
      </c>
      <c r="AG54" s="34">
        <v>2020</v>
      </c>
      <c r="AH54" s="35" t="s">
        <v>274</v>
      </c>
      <c r="AT54" s="20" t="e">
        <f t="shared" ref="AT54:AT73" si="10">VLOOKUP(C54,AW:AX,2,FALSE)</f>
        <v>#N/A</v>
      </c>
    </row>
    <row r="55" spans="1:46" ht="61.5" x14ac:dyDescent="0.85">
      <c r="A55" s="20">
        <v>1</v>
      </c>
      <c r="B55" s="66">
        <f>SUBTOTAL(103,$A$22:A55)</f>
        <v>34</v>
      </c>
      <c r="C55" s="24" t="s">
        <v>530</v>
      </c>
      <c r="D55" s="31">
        <f t="shared" si="4"/>
        <v>1387013.57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3">
        <v>0</v>
      </c>
      <c r="L55" s="31">
        <v>0</v>
      </c>
      <c r="M55" s="31">
        <v>332.1</v>
      </c>
      <c r="N55" s="31">
        <v>1297550.32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f t="shared" ref="AC55:AC56" si="11">ROUND(N55*1.5%,2)</f>
        <v>19463.25</v>
      </c>
      <c r="AD55" s="31">
        <v>70000</v>
      </c>
      <c r="AE55" s="31">
        <v>0</v>
      </c>
      <c r="AF55" s="34">
        <v>2020</v>
      </c>
      <c r="AG55" s="34">
        <v>2020</v>
      </c>
      <c r="AH55" s="35">
        <v>2020</v>
      </c>
      <c r="AT55" s="20" t="e">
        <f t="shared" si="10"/>
        <v>#N/A</v>
      </c>
    </row>
    <row r="56" spans="1:46" ht="61.5" x14ac:dyDescent="0.85">
      <c r="A56" s="20">
        <v>1</v>
      </c>
      <c r="B56" s="66">
        <f>SUBTOTAL(103,$A$22:A56)</f>
        <v>35</v>
      </c>
      <c r="C56" s="24" t="s">
        <v>531</v>
      </c>
      <c r="D56" s="31">
        <f t="shared" si="4"/>
        <v>985637.27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3">
        <v>0</v>
      </c>
      <c r="L56" s="31">
        <v>0</v>
      </c>
      <c r="M56" s="31">
        <v>231</v>
      </c>
      <c r="N56" s="31">
        <v>872549.03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f t="shared" si="11"/>
        <v>13088.24</v>
      </c>
      <c r="AD56" s="31">
        <v>100000</v>
      </c>
      <c r="AE56" s="31">
        <v>0</v>
      </c>
      <c r="AF56" s="34">
        <v>2020</v>
      </c>
      <c r="AG56" s="34">
        <v>2020</v>
      </c>
      <c r="AH56" s="35">
        <v>2020</v>
      </c>
      <c r="AT56" s="20" t="e">
        <f t="shared" si="10"/>
        <v>#N/A</v>
      </c>
    </row>
    <row r="57" spans="1:46" ht="61.5" x14ac:dyDescent="0.85">
      <c r="A57" s="20">
        <v>1</v>
      </c>
      <c r="B57" s="66">
        <f>SUBTOTAL(103,$A$22:A57)</f>
        <v>36</v>
      </c>
      <c r="C57" s="24" t="s">
        <v>532</v>
      </c>
      <c r="D57" s="31">
        <f t="shared" si="4"/>
        <v>1450057.71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3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353.32</v>
      </c>
      <c r="R57" s="31">
        <v>1382811.69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f t="shared" ref="AC57:AC58" si="12">ROUND(R57*1.5%,2)</f>
        <v>20742.18</v>
      </c>
      <c r="AD57" s="31">
        <v>46503.839999999997</v>
      </c>
      <c r="AE57" s="31">
        <v>0</v>
      </c>
      <c r="AF57" s="34">
        <v>2020</v>
      </c>
      <c r="AG57" s="34">
        <v>2020</v>
      </c>
      <c r="AH57" s="35">
        <v>2020</v>
      </c>
      <c r="AT57" s="20" t="e">
        <f t="shared" si="10"/>
        <v>#N/A</v>
      </c>
    </row>
    <row r="58" spans="1:46" ht="61.5" x14ac:dyDescent="0.85">
      <c r="A58" s="20">
        <v>1</v>
      </c>
      <c r="B58" s="66">
        <f>SUBTOTAL(103,$A$22:A58)</f>
        <v>37</v>
      </c>
      <c r="C58" s="24" t="s">
        <v>1132</v>
      </c>
      <c r="D58" s="31">
        <f t="shared" si="4"/>
        <v>3068875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3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860</v>
      </c>
      <c r="R58" s="31">
        <v>2925000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f t="shared" si="12"/>
        <v>43875</v>
      </c>
      <c r="AD58" s="31">
        <v>100000</v>
      </c>
      <c r="AE58" s="31">
        <v>0</v>
      </c>
      <c r="AF58" s="34">
        <v>2020</v>
      </c>
      <c r="AG58" s="34">
        <v>2020</v>
      </c>
      <c r="AH58" s="35">
        <v>2020</v>
      </c>
      <c r="AT58" s="20" t="e">
        <f t="shared" si="10"/>
        <v>#N/A</v>
      </c>
    </row>
    <row r="59" spans="1:46" ht="61.5" x14ac:dyDescent="0.85">
      <c r="A59" s="20">
        <v>1</v>
      </c>
      <c r="B59" s="66">
        <f>SUBTOTAL(103,$A$22:A59)</f>
        <v>38</v>
      </c>
      <c r="C59" s="24" t="s">
        <v>533</v>
      </c>
      <c r="D59" s="31">
        <f t="shared" si="4"/>
        <v>2178303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3">
        <v>1</v>
      </c>
      <c r="L59" s="31">
        <v>2178303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4" t="s">
        <v>274</v>
      </c>
      <c r="AG59" s="34">
        <v>2020</v>
      </c>
      <c r="AH59" s="35" t="s">
        <v>274</v>
      </c>
      <c r="AT59" s="20" t="e">
        <f t="shared" si="10"/>
        <v>#N/A</v>
      </c>
    </row>
    <row r="60" spans="1:46" ht="61.5" x14ac:dyDescent="0.85">
      <c r="A60" s="20">
        <v>1</v>
      </c>
      <c r="B60" s="66">
        <f>SUBTOTAL(103,$A$22:A60)</f>
        <v>39</v>
      </c>
      <c r="C60" s="24" t="s">
        <v>534</v>
      </c>
      <c r="D60" s="31">
        <f t="shared" si="4"/>
        <v>3345041.9099999997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3">
        <v>0</v>
      </c>
      <c r="L60" s="31">
        <v>0</v>
      </c>
      <c r="M60" s="31">
        <v>794.6</v>
      </c>
      <c r="N60" s="31">
        <v>3197085.63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f t="shared" ref="AC60:AC73" si="13">ROUND(N60*1.5%,2)</f>
        <v>47956.28</v>
      </c>
      <c r="AD60" s="31">
        <v>100000</v>
      </c>
      <c r="AE60" s="31">
        <v>0</v>
      </c>
      <c r="AF60" s="34">
        <v>2020</v>
      </c>
      <c r="AG60" s="34">
        <v>2020</v>
      </c>
      <c r="AH60" s="35">
        <v>2020</v>
      </c>
      <c r="AT60" s="20" t="e">
        <f t="shared" si="10"/>
        <v>#N/A</v>
      </c>
    </row>
    <row r="61" spans="1:46" ht="61.5" x14ac:dyDescent="0.85">
      <c r="A61" s="20">
        <v>1</v>
      </c>
      <c r="B61" s="66">
        <f>SUBTOTAL(103,$A$22:A61)</f>
        <v>40</v>
      </c>
      <c r="C61" s="24" t="s">
        <v>535</v>
      </c>
      <c r="D61" s="31">
        <f t="shared" si="4"/>
        <v>3596842.14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3">
        <v>0</v>
      </c>
      <c r="L61" s="31">
        <v>0</v>
      </c>
      <c r="M61" s="31">
        <v>861</v>
      </c>
      <c r="N61" s="31">
        <v>3445164.67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f t="shared" si="13"/>
        <v>51677.47</v>
      </c>
      <c r="AD61" s="31">
        <v>100000</v>
      </c>
      <c r="AE61" s="31">
        <v>0</v>
      </c>
      <c r="AF61" s="34">
        <v>2020</v>
      </c>
      <c r="AG61" s="34">
        <v>2020</v>
      </c>
      <c r="AH61" s="35">
        <v>2020</v>
      </c>
      <c r="AT61" s="20" t="e">
        <f t="shared" si="10"/>
        <v>#N/A</v>
      </c>
    </row>
    <row r="62" spans="1:46" ht="61.5" x14ac:dyDescent="0.85">
      <c r="A62" s="20">
        <v>1</v>
      </c>
      <c r="B62" s="66">
        <f>SUBTOTAL(103,$A$22:A62)</f>
        <v>41</v>
      </c>
      <c r="C62" s="24" t="s">
        <v>536</v>
      </c>
      <c r="D62" s="31">
        <f t="shared" si="4"/>
        <v>1174579.6199999999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3">
        <v>0</v>
      </c>
      <c r="L62" s="31">
        <v>0</v>
      </c>
      <c r="M62" s="31">
        <v>287</v>
      </c>
      <c r="N62" s="31">
        <v>1107960.22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f t="shared" si="13"/>
        <v>16619.400000000001</v>
      </c>
      <c r="AD62" s="31">
        <v>50000</v>
      </c>
      <c r="AE62" s="31">
        <v>0</v>
      </c>
      <c r="AF62" s="34">
        <v>2020</v>
      </c>
      <c r="AG62" s="34">
        <v>2020</v>
      </c>
      <c r="AH62" s="35">
        <v>2020</v>
      </c>
      <c r="AT62" s="20" t="e">
        <f t="shared" si="10"/>
        <v>#N/A</v>
      </c>
    </row>
    <row r="63" spans="1:46" ht="61.5" x14ac:dyDescent="0.85">
      <c r="A63" s="20">
        <v>1</v>
      </c>
      <c r="B63" s="66">
        <f>SUBTOTAL(103,$A$22:A63)</f>
        <v>42</v>
      </c>
      <c r="C63" s="24" t="s">
        <v>537</v>
      </c>
      <c r="D63" s="31">
        <f t="shared" si="4"/>
        <v>7166073.3299999991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3">
        <v>0</v>
      </c>
      <c r="L63" s="31">
        <v>0</v>
      </c>
      <c r="M63" s="31">
        <v>1765</v>
      </c>
      <c r="N63" s="31">
        <v>6912387.5199999996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f t="shared" si="13"/>
        <v>103685.81</v>
      </c>
      <c r="AD63" s="31">
        <v>150000</v>
      </c>
      <c r="AE63" s="31">
        <v>0</v>
      </c>
      <c r="AF63" s="34">
        <v>2020</v>
      </c>
      <c r="AG63" s="34">
        <v>2020</v>
      </c>
      <c r="AH63" s="35">
        <v>2020</v>
      </c>
      <c r="AT63" s="20" t="e">
        <f t="shared" si="10"/>
        <v>#N/A</v>
      </c>
    </row>
    <row r="64" spans="1:46" ht="61.5" x14ac:dyDescent="0.85">
      <c r="A64" s="20">
        <v>1</v>
      </c>
      <c r="B64" s="66">
        <f>SUBTOTAL(103,$A$22:A64)</f>
        <v>43</v>
      </c>
      <c r="C64" s="24" t="s">
        <v>538</v>
      </c>
      <c r="D64" s="31">
        <f t="shared" si="4"/>
        <v>8262644.0300000003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3">
        <v>0</v>
      </c>
      <c r="L64" s="31">
        <v>0</v>
      </c>
      <c r="M64" s="31">
        <v>2035</v>
      </c>
      <c r="N64" s="31">
        <v>7992752.7400000002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f t="shared" si="13"/>
        <v>119891.29</v>
      </c>
      <c r="AD64" s="31">
        <v>150000</v>
      </c>
      <c r="AE64" s="31">
        <v>0</v>
      </c>
      <c r="AF64" s="34">
        <v>2020</v>
      </c>
      <c r="AG64" s="34">
        <v>2020</v>
      </c>
      <c r="AH64" s="35">
        <v>2020</v>
      </c>
      <c r="AT64" s="20" t="e">
        <f t="shared" si="10"/>
        <v>#N/A</v>
      </c>
    </row>
    <row r="65" spans="1:46" ht="61.5" x14ac:dyDescent="0.85">
      <c r="A65" s="20">
        <v>1</v>
      </c>
      <c r="B65" s="66">
        <f>SUBTOTAL(103,$A$22:A65)</f>
        <v>44</v>
      </c>
      <c r="C65" s="24" t="s">
        <v>539</v>
      </c>
      <c r="D65" s="31">
        <f t="shared" si="4"/>
        <v>3765448.0900000003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3">
        <v>0</v>
      </c>
      <c r="L65" s="31">
        <v>0</v>
      </c>
      <c r="M65" s="31">
        <v>918</v>
      </c>
      <c r="N65" s="31">
        <v>3611278.91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f t="shared" si="13"/>
        <v>54169.18</v>
      </c>
      <c r="AD65" s="31">
        <v>100000</v>
      </c>
      <c r="AE65" s="31">
        <v>0</v>
      </c>
      <c r="AF65" s="34">
        <v>2020</v>
      </c>
      <c r="AG65" s="34">
        <v>2020</v>
      </c>
      <c r="AH65" s="35">
        <v>2020</v>
      </c>
      <c r="AT65" s="20" t="e">
        <f t="shared" si="10"/>
        <v>#N/A</v>
      </c>
    </row>
    <row r="66" spans="1:46" ht="61.5" x14ac:dyDescent="0.85">
      <c r="A66" s="20">
        <v>1</v>
      </c>
      <c r="B66" s="66">
        <f>SUBTOTAL(103,$A$22:A66)</f>
        <v>45</v>
      </c>
      <c r="C66" s="24" t="s">
        <v>540</v>
      </c>
      <c r="D66" s="31">
        <f t="shared" si="4"/>
        <v>4344134.7699999996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3">
        <v>0</v>
      </c>
      <c r="L66" s="31">
        <v>0</v>
      </c>
      <c r="M66" s="31">
        <v>1045</v>
      </c>
      <c r="N66" s="31">
        <v>4181413.57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f t="shared" si="13"/>
        <v>62721.2</v>
      </c>
      <c r="AD66" s="31">
        <v>100000</v>
      </c>
      <c r="AE66" s="31">
        <v>0</v>
      </c>
      <c r="AF66" s="34">
        <v>2020</v>
      </c>
      <c r="AG66" s="34">
        <v>2020</v>
      </c>
      <c r="AH66" s="35">
        <v>2020</v>
      </c>
      <c r="AT66" s="20" t="e">
        <f t="shared" si="10"/>
        <v>#N/A</v>
      </c>
    </row>
    <row r="67" spans="1:46" ht="61.5" x14ac:dyDescent="0.85">
      <c r="A67" s="20">
        <v>1</v>
      </c>
      <c r="B67" s="66">
        <f>SUBTOTAL(103,$A$22:A67)</f>
        <v>46</v>
      </c>
      <c r="C67" s="24" t="s">
        <v>541</v>
      </c>
      <c r="D67" s="31">
        <f t="shared" si="4"/>
        <v>2675102.6700000004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3">
        <v>0</v>
      </c>
      <c r="L67" s="31">
        <v>0</v>
      </c>
      <c r="M67" s="31">
        <v>627</v>
      </c>
      <c r="N67" s="31">
        <v>2537046.9700000002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f t="shared" si="13"/>
        <v>38055.699999999997</v>
      </c>
      <c r="AD67" s="31">
        <v>100000</v>
      </c>
      <c r="AE67" s="31">
        <v>0</v>
      </c>
      <c r="AF67" s="34">
        <v>2020</v>
      </c>
      <c r="AG67" s="34">
        <v>2020</v>
      </c>
      <c r="AH67" s="35">
        <v>2020</v>
      </c>
      <c r="AT67" s="20" t="e">
        <f t="shared" si="10"/>
        <v>#N/A</v>
      </c>
    </row>
    <row r="68" spans="1:46" ht="61.5" x14ac:dyDescent="0.85">
      <c r="A68" s="20">
        <v>1</v>
      </c>
      <c r="B68" s="66">
        <f>SUBTOTAL(103,$A$22:A68)</f>
        <v>47</v>
      </c>
      <c r="C68" s="24" t="s">
        <v>542</v>
      </c>
      <c r="D68" s="31">
        <f t="shared" si="4"/>
        <v>2302288.7200000002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3">
        <v>0</v>
      </c>
      <c r="L68" s="31">
        <v>0</v>
      </c>
      <c r="M68" s="31">
        <v>575.94000000000005</v>
      </c>
      <c r="N68" s="31">
        <v>2169742.58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f t="shared" si="13"/>
        <v>32546.14</v>
      </c>
      <c r="AD68" s="31">
        <v>100000</v>
      </c>
      <c r="AE68" s="31">
        <v>0</v>
      </c>
      <c r="AF68" s="34">
        <v>2020</v>
      </c>
      <c r="AG68" s="34">
        <v>2020</v>
      </c>
      <c r="AH68" s="35">
        <v>2020</v>
      </c>
      <c r="AT68" s="20" t="e">
        <f t="shared" si="10"/>
        <v>#N/A</v>
      </c>
    </row>
    <row r="69" spans="1:46" ht="61.5" x14ac:dyDescent="0.85">
      <c r="A69" s="20">
        <v>1</v>
      </c>
      <c r="B69" s="66">
        <f>SUBTOTAL(103,$A$22:A69)</f>
        <v>48</v>
      </c>
      <c r="C69" s="24" t="s">
        <v>543</v>
      </c>
      <c r="D69" s="31">
        <f t="shared" si="4"/>
        <v>3507491.94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3">
        <v>0</v>
      </c>
      <c r="L69" s="31">
        <v>0</v>
      </c>
      <c r="M69" s="31">
        <v>839</v>
      </c>
      <c r="N69" s="31">
        <v>3357134.92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f t="shared" si="13"/>
        <v>50357.02</v>
      </c>
      <c r="AD69" s="31">
        <v>100000</v>
      </c>
      <c r="AE69" s="31">
        <v>0</v>
      </c>
      <c r="AF69" s="34">
        <v>2020</v>
      </c>
      <c r="AG69" s="34">
        <v>2020</v>
      </c>
      <c r="AH69" s="35">
        <v>2020</v>
      </c>
      <c r="AT69" s="20" t="e">
        <f t="shared" si="10"/>
        <v>#N/A</v>
      </c>
    </row>
    <row r="70" spans="1:46" ht="61.5" x14ac:dyDescent="0.85">
      <c r="A70" s="20">
        <v>1</v>
      </c>
      <c r="B70" s="66">
        <f>SUBTOTAL(103,$A$22:A70)</f>
        <v>49</v>
      </c>
      <c r="C70" s="24" t="s">
        <v>544</v>
      </c>
      <c r="D70" s="31">
        <f t="shared" si="4"/>
        <v>4425362.24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3">
        <v>0</v>
      </c>
      <c r="L70" s="31">
        <v>0</v>
      </c>
      <c r="M70" s="31">
        <v>1065</v>
      </c>
      <c r="N70" s="31">
        <v>4261440.63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f t="shared" si="13"/>
        <v>63921.61</v>
      </c>
      <c r="AD70" s="31">
        <v>100000</v>
      </c>
      <c r="AE70" s="31">
        <v>0</v>
      </c>
      <c r="AF70" s="34">
        <v>2020</v>
      </c>
      <c r="AG70" s="34">
        <v>2020</v>
      </c>
      <c r="AH70" s="35">
        <v>2020</v>
      </c>
      <c r="AT70" s="20" t="e">
        <f t="shared" si="10"/>
        <v>#N/A</v>
      </c>
    </row>
    <row r="71" spans="1:46" ht="61.5" x14ac:dyDescent="0.85">
      <c r="A71" s="20">
        <v>1</v>
      </c>
      <c r="B71" s="66">
        <f>SUBTOTAL(103,$A$22:A71)</f>
        <v>50</v>
      </c>
      <c r="C71" s="24" t="s">
        <v>545</v>
      </c>
      <c r="D71" s="31">
        <f t="shared" si="4"/>
        <v>3666132.39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3">
        <v>0</v>
      </c>
      <c r="L71" s="31">
        <v>0</v>
      </c>
      <c r="M71" s="31">
        <v>878</v>
      </c>
      <c r="N71" s="31">
        <v>3513430.93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f t="shared" si="13"/>
        <v>52701.46</v>
      </c>
      <c r="AD71" s="31">
        <v>100000</v>
      </c>
      <c r="AE71" s="31">
        <v>0</v>
      </c>
      <c r="AF71" s="34">
        <v>2020</v>
      </c>
      <c r="AG71" s="34">
        <v>2020</v>
      </c>
      <c r="AH71" s="35">
        <v>2020</v>
      </c>
      <c r="AT71" s="20" t="e">
        <f t="shared" si="10"/>
        <v>#N/A</v>
      </c>
    </row>
    <row r="72" spans="1:46" ht="61.5" x14ac:dyDescent="0.85">
      <c r="A72" s="20">
        <v>1</v>
      </c>
      <c r="B72" s="66">
        <f>SUBTOTAL(103,$A$22:A72)</f>
        <v>51</v>
      </c>
      <c r="C72" s="24" t="s">
        <v>546</v>
      </c>
      <c r="D72" s="31">
        <f t="shared" si="4"/>
        <v>4995256.4400000004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3">
        <v>0</v>
      </c>
      <c r="L72" s="31">
        <v>0</v>
      </c>
      <c r="M72" s="31">
        <v>1213.0999999999999</v>
      </c>
      <c r="N72" s="31">
        <v>4822912.75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f t="shared" si="13"/>
        <v>72343.69</v>
      </c>
      <c r="AD72" s="31">
        <v>100000</v>
      </c>
      <c r="AE72" s="31">
        <v>0</v>
      </c>
      <c r="AF72" s="34">
        <v>2020</v>
      </c>
      <c r="AG72" s="34">
        <v>2020</v>
      </c>
      <c r="AH72" s="35">
        <v>2020</v>
      </c>
      <c r="AT72" s="20" t="e">
        <f t="shared" si="10"/>
        <v>#N/A</v>
      </c>
    </row>
    <row r="73" spans="1:46" ht="61.5" x14ac:dyDescent="0.85">
      <c r="A73" s="20">
        <v>1</v>
      </c>
      <c r="B73" s="66">
        <f>SUBTOTAL(103,$A$22:A73)</f>
        <v>52</v>
      </c>
      <c r="C73" s="24" t="s">
        <v>547</v>
      </c>
      <c r="D73" s="31">
        <f t="shared" si="4"/>
        <v>2348490.67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3">
        <v>0</v>
      </c>
      <c r="L73" s="31">
        <v>0</v>
      </c>
      <c r="M73" s="31">
        <v>565</v>
      </c>
      <c r="N73" s="31">
        <v>2244818.39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f t="shared" si="13"/>
        <v>33672.28</v>
      </c>
      <c r="AD73" s="31">
        <v>70000</v>
      </c>
      <c r="AE73" s="31">
        <v>0</v>
      </c>
      <c r="AF73" s="34">
        <v>2020</v>
      </c>
      <c r="AG73" s="34">
        <v>2020</v>
      </c>
      <c r="AH73" s="35">
        <v>2020</v>
      </c>
      <c r="AT73" s="20" t="e">
        <f t="shared" si="10"/>
        <v>#N/A</v>
      </c>
    </row>
    <row r="74" spans="1:46" ht="61.5" x14ac:dyDescent="0.85">
      <c r="A74" s="20">
        <v>1</v>
      </c>
      <c r="B74" s="66">
        <f>SUBTOTAL(103,$A$22:A74)</f>
        <v>53</v>
      </c>
      <c r="C74" s="24" t="s">
        <v>1449</v>
      </c>
      <c r="D74" s="31">
        <f t="shared" si="4"/>
        <v>1604223.25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3">
        <v>0</v>
      </c>
      <c r="L74" s="31">
        <v>0</v>
      </c>
      <c r="M74" s="31">
        <v>330</v>
      </c>
      <c r="N74" s="31">
        <v>1511550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22673.25</v>
      </c>
      <c r="AD74" s="31">
        <v>70000</v>
      </c>
      <c r="AE74" s="31">
        <v>0</v>
      </c>
      <c r="AF74" s="34">
        <v>2020</v>
      </c>
      <c r="AG74" s="34">
        <v>2020</v>
      </c>
      <c r="AH74" s="35">
        <v>2020</v>
      </c>
    </row>
    <row r="75" spans="1:46" ht="61.5" x14ac:dyDescent="0.85">
      <c r="A75" s="20">
        <v>1</v>
      </c>
      <c r="B75" s="66">
        <f>SUBTOTAL(103,$A$22:A75)</f>
        <v>54</v>
      </c>
      <c r="C75" s="24" t="s">
        <v>1477</v>
      </c>
      <c r="D75" s="31">
        <f t="shared" si="4"/>
        <v>3884747.5999999996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3">
        <v>0</v>
      </c>
      <c r="L75" s="31">
        <v>0</v>
      </c>
      <c r="M75" s="31">
        <v>831.1</v>
      </c>
      <c r="N75" s="31">
        <v>3738667.59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56080.01</v>
      </c>
      <c r="AD75" s="31">
        <v>90000</v>
      </c>
      <c r="AE75" s="31">
        <v>0</v>
      </c>
      <c r="AF75" s="34">
        <v>2020</v>
      </c>
      <c r="AG75" s="34">
        <v>2020</v>
      </c>
      <c r="AH75" s="35">
        <v>2020</v>
      </c>
    </row>
    <row r="76" spans="1:46" ht="61.5" x14ac:dyDescent="0.85">
      <c r="A76" s="20">
        <v>1</v>
      </c>
      <c r="B76" s="66">
        <f>SUBTOTAL(103,$A$22:A76)</f>
        <v>55</v>
      </c>
      <c r="C76" s="24" t="s">
        <v>1450</v>
      </c>
      <c r="D76" s="31">
        <f t="shared" si="4"/>
        <v>2248303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3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554</v>
      </c>
      <c r="R76" s="31">
        <v>2146111.33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32191.67</v>
      </c>
      <c r="AD76" s="31">
        <v>70000</v>
      </c>
      <c r="AE76" s="31">
        <v>0</v>
      </c>
      <c r="AF76" s="34">
        <v>2020</v>
      </c>
      <c r="AG76" s="34">
        <v>2020</v>
      </c>
      <c r="AH76" s="35">
        <v>2020</v>
      </c>
    </row>
    <row r="77" spans="1:46" ht="61.5" x14ac:dyDescent="0.85">
      <c r="A77" s="20">
        <v>1</v>
      </c>
      <c r="B77" s="66">
        <f>SUBTOTAL(103,$A$22:A77)</f>
        <v>56</v>
      </c>
      <c r="C77" s="24" t="s">
        <v>1451</v>
      </c>
      <c r="D77" s="31">
        <f t="shared" si="4"/>
        <v>4273347.84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3">
        <v>0</v>
      </c>
      <c r="L77" s="31">
        <v>0</v>
      </c>
      <c r="M77" s="31">
        <v>903.1</v>
      </c>
      <c r="N77" s="31">
        <v>4111672.75</v>
      </c>
      <c r="O77" s="31">
        <v>0</v>
      </c>
      <c r="P77" s="31">
        <v>0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61675.09</v>
      </c>
      <c r="AD77" s="31">
        <v>100000</v>
      </c>
      <c r="AE77" s="31">
        <v>0</v>
      </c>
      <c r="AF77" s="34">
        <v>2020</v>
      </c>
      <c r="AG77" s="34">
        <v>2020</v>
      </c>
      <c r="AH77" s="35">
        <v>2020</v>
      </c>
    </row>
    <row r="78" spans="1:46" ht="61.5" x14ac:dyDescent="0.85">
      <c r="A78" s="20">
        <v>1</v>
      </c>
      <c r="B78" s="66">
        <f>SUBTOTAL(103,$A$22:A78)</f>
        <v>57</v>
      </c>
      <c r="C78" s="24" t="s">
        <v>1452</v>
      </c>
      <c r="D78" s="31">
        <f t="shared" si="4"/>
        <v>2324213.5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3">
        <v>0</v>
      </c>
      <c r="L78" s="31">
        <v>0</v>
      </c>
      <c r="M78" s="31">
        <v>0</v>
      </c>
      <c r="N78" s="31">
        <v>0</v>
      </c>
      <c r="O78" s="31">
        <v>0</v>
      </c>
      <c r="P78" s="31">
        <v>0</v>
      </c>
      <c r="Q78" s="31">
        <v>591.9</v>
      </c>
      <c r="R78" s="31">
        <v>2220900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33313.5</v>
      </c>
      <c r="AD78" s="31">
        <v>70000</v>
      </c>
      <c r="AE78" s="31">
        <v>0</v>
      </c>
      <c r="AF78" s="34">
        <v>2020</v>
      </c>
      <c r="AG78" s="34">
        <v>2020</v>
      </c>
      <c r="AH78" s="35">
        <v>2020</v>
      </c>
    </row>
    <row r="79" spans="1:46" ht="61.5" x14ac:dyDescent="0.85">
      <c r="A79" s="20">
        <v>1</v>
      </c>
      <c r="B79" s="66">
        <f>SUBTOTAL(103,$A$22:A79)</f>
        <v>58</v>
      </c>
      <c r="C79" s="24" t="s">
        <v>1163</v>
      </c>
      <c r="D79" s="31">
        <f t="shared" ref="D79:D86" si="14">E79+F79+G79+H79+I79+J79+L79+N79+P79+R79+T79+U79+V79+W79+X79+Y79+Z79+AA79+AB79+AC79+AD79+AE79</f>
        <v>4363443.18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3">
        <v>3</v>
      </c>
      <c r="L79" s="31">
        <v>4363443.18</v>
      </c>
      <c r="M79" s="31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4" t="s">
        <v>274</v>
      </c>
      <c r="AG79" s="34">
        <v>2020</v>
      </c>
      <c r="AH79" s="35" t="s">
        <v>274</v>
      </c>
    </row>
    <row r="80" spans="1:46" ht="61.5" x14ac:dyDescent="0.85">
      <c r="A80" s="20">
        <v>1</v>
      </c>
      <c r="B80" s="66">
        <f>SUBTOTAL(103,$A$22:A80)</f>
        <v>59</v>
      </c>
      <c r="C80" s="24" t="s">
        <v>1164</v>
      </c>
      <c r="D80" s="31">
        <f t="shared" si="14"/>
        <v>10920400.76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3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5788.43</v>
      </c>
      <c r="R80" s="31">
        <v>10759810.59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f>ROUND(R80*1.4925%,2)</f>
        <v>160590.17000000001</v>
      </c>
      <c r="AD80" s="31">
        <v>0</v>
      </c>
      <c r="AE80" s="31">
        <v>0</v>
      </c>
      <c r="AF80" s="34" t="s">
        <v>274</v>
      </c>
      <c r="AG80" s="34">
        <v>2020</v>
      </c>
      <c r="AH80" s="35">
        <v>2020</v>
      </c>
    </row>
    <row r="81" spans="1:34" ht="61.5" x14ac:dyDescent="0.85">
      <c r="A81" s="20">
        <v>1</v>
      </c>
      <c r="B81" s="66">
        <f>SUBTOTAL(103,$A$22:A81)</f>
        <v>60</v>
      </c>
      <c r="C81" s="24" t="s">
        <v>1165</v>
      </c>
      <c r="D81" s="31">
        <f t="shared" si="14"/>
        <v>5593157.79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3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3852.16</v>
      </c>
      <c r="R81" s="31">
        <v>5510907.5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f>ROUND(R81*1.4925%,2)</f>
        <v>82250.289999999994</v>
      </c>
      <c r="AD81" s="31">
        <v>0</v>
      </c>
      <c r="AE81" s="31">
        <v>0</v>
      </c>
      <c r="AF81" s="34" t="s">
        <v>274</v>
      </c>
      <c r="AG81" s="34">
        <v>2020</v>
      </c>
      <c r="AH81" s="35">
        <v>2020</v>
      </c>
    </row>
    <row r="82" spans="1:34" ht="61.5" x14ac:dyDescent="0.85">
      <c r="A82" s="20">
        <v>1</v>
      </c>
      <c r="B82" s="66">
        <f>SUBTOTAL(103,$A$22:A82)</f>
        <v>61</v>
      </c>
      <c r="C82" s="24" t="s">
        <v>1166</v>
      </c>
      <c r="D82" s="31">
        <f t="shared" si="14"/>
        <v>2451551.34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3">
        <v>0</v>
      </c>
      <c r="L82" s="31">
        <v>0</v>
      </c>
      <c r="M82" s="31">
        <v>1118</v>
      </c>
      <c r="N82" s="31">
        <v>2415500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f>ROUND(N82*1.4925%,2)</f>
        <v>36051.339999999997</v>
      </c>
      <c r="AD82" s="31">
        <v>0</v>
      </c>
      <c r="AE82" s="31">
        <v>0</v>
      </c>
      <c r="AF82" s="34" t="s">
        <v>274</v>
      </c>
      <c r="AG82" s="34">
        <v>2020</v>
      </c>
      <c r="AH82" s="35">
        <v>2020</v>
      </c>
    </row>
    <row r="83" spans="1:34" ht="61.5" x14ac:dyDescent="0.85">
      <c r="A83" s="20">
        <v>1</v>
      </c>
      <c r="B83" s="66">
        <f>SUBTOTAL(103,$A$22:A83)</f>
        <v>62</v>
      </c>
      <c r="C83" s="24" t="s">
        <v>1167</v>
      </c>
      <c r="D83" s="31">
        <f t="shared" si="14"/>
        <v>859223.61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3">
        <v>0</v>
      </c>
      <c r="L83" s="31">
        <v>0</v>
      </c>
      <c r="M83" s="31">
        <v>375.1</v>
      </c>
      <c r="N83" s="31">
        <v>846588.28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f>ROUND(N83*1.4925%,2)</f>
        <v>12635.33</v>
      </c>
      <c r="AD83" s="31">
        <v>0</v>
      </c>
      <c r="AE83" s="31">
        <v>0</v>
      </c>
      <c r="AF83" s="34" t="s">
        <v>274</v>
      </c>
      <c r="AG83" s="34">
        <v>2020</v>
      </c>
      <c r="AH83" s="35">
        <v>2020</v>
      </c>
    </row>
    <row r="84" spans="1:34" ht="61.5" x14ac:dyDescent="0.85">
      <c r="A84" s="20">
        <v>1</v>
      </c>
      <c r="B84" s="66">
        <f>SUBTOTAL(103,$A$22:A84)</f>
        <v>63</v>
      </c>
      <c r="C84" s="24" t="s">
        <v>1168</v>
      </c>
      <c r="D84" s="31">
        <f t="shared" si="14"/>
        <v>3483123.9099999997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3">
        <v>0</v>
      </c>
      <c r="L84" s="31">
        <v>0</v>
      </c>
      <c r="M84" s="31">
        <v>912.27</v>
      </c>
      <c r="N84" s="31">
        <v>3431902.76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f>ROUND(N84*1.4925%,2)</f>
        <v>51221.15</v>
      </c>
      <c r="AD84" s="31">
        <v>0</v>
      </c>
      <c r="AE84" s="31">
        <v>0</v>
      </c>
      <c r="AF84" s="34" t="s">
        <v>274</v>
      </c>
      <c r="AG84" s="34">
        <v>2020</v>
      </c>
      <c r="AH84" s="35">
        <v>2020</v>
      </c>
    </row>
    <row r="85" spans="1:34" ht="61.5" x14ac:dyDescent="0.85">
      <c r="A85" s="20">
        <v>1</v>
      </c>
      <c r="B85" s="66">
        <f>SUBTOTAL(103,$A$22:A85)</f>
        <v>64</v>
      </c>
      <c r="C85" s="24" t="s">
        <v>1169</v>
      </c>
      <c r="D85" s="31">
        <f t="shared" si="14"/>
        <v>4301356.74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3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1131.4000000000001</v>
      </c>
      <c r="R85" s="31">
        <v>4238103.05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f>ROUND(R85*1.4925%,2)</f>
        <v>63253.69</v>
      </c>
      <c r="AD85" s="31">
        <v>0</v>
      </c>
      <c r="AE85" s="31">
        <v>0</v>
      </c>
      <c r="AF85" s="34" t="s">
        <v>274</v>
      </c>
      <c r="AG85" s="34">
        <v>2020</v>
      </c>
      <c r="AH85" s="35">
        <v>2020</v>
      </c>
    </row>
    <row r="86" spans="1:34" ht="61.5" x14ac:dyDescent="0.85">
      <c r="A86" s="20">
        <v>1</v>
      </c>
      <c r="B86" s="66">
        <f>SUBTOTAL(103,$A$22:A86)</f>
        <v>65</v>
      </c>
      <c r="C86" s="24" t="s">
        <v>1170</v>
      </c>
      <c r="D86" s="31">
        <f t="shared" si="14"/>
        <v>5210513.3099999996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3">
        <v>0</v>
      </c>
      <c r="L86" s="31">
        <v>0</v>
      </c>
      <c r="M86" s="31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5133890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f>ROUND(U86*1.4925%,2)</f>
        <v>76623.31</v>
      </c>
      <c r="AD86" s="31">
        <v>0</v>
      </c>
      <c r="AE86" s="31">
        <v>0</v>
      </c>
      <c r="AF86" s="34" t="s">
        <v>274</v>
      </c>
      <c r="AG86" s="34">
        <v>2020</v>
      </c>
      <c r="AH86" s="35">
        <v>2020</v>
      </c>
    </row>
    <row r="87" spans="1:34" ht="61.5" x14ac:dyDescent="0.85">
      <c r="A87" s="20">
        <v>1</v>
      </c>
      <c r="B87" s="66">
        <f>SUBTOTAL(103,$A$22:A87)</f>
        <v>66</v>
      </c>
      <c r="C87" s="24" t="s">
        <v>1171</v>
      </c>
      <c r="D87" s="31">
        <f>E87+F87+G87+H87+I87+J87+L87+N87+P87+R87+T87+U87+V87+W87+X87+Y87+Z87+AA87+AB87+AC87+AD87+AE87</f>
        <v>3384245.77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3">
        <v>0</v>
      </c>
      <c r="L87" s="31">
        <v>0</v>
      </c>
      <c r="M87" s="31">
        <v>970</v>
      </c>
      <c r="N87" s="31">
        <f>3334478.68-100000+1470.55</f>
        <v>3235949.23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f>ROUND(N87*1.4925%,2)</f>
        <v>48296.54</v>
      </c>
      <c r="AD87" s="31">
        <v>100000</v>
      </c>
      <c r="AE87" s="31">
        <v>0</v>
      </c>
      <c r="AF87" s="34">
        <v>2020</v>
      </c>
      <c r="AG87" s="34">
        <v>2020</v>
      </c>
      <c r="AH87" s="35">
        <v>2020</v>
      </c>
    </row>
    <row r="88" spans="1:34" ht="61.5" x14ac:dyDescent="0.85">
      <c r="A88" s="20">
        <v>1</v>
      </c>
      <c r="B88" s="66">
        <f>SUBTOTAL(103,$A$22:A88)</f>
        <v>67</v>
      </c>
      <c r="C88" s="24" t="s">
        <v>1172</v>
      </c>
      <c r="D88" s="31">
        <f t="shared" ref="D88:D134" si="15">E88+F88+G88+H88+I88+J88+L88+N88+P88+R88+T88+U88+V88+W88+X88+Y88+Z88+AA88+AB88+AC88+AD88+AE88</f>
        <v>4374326.75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3">
        <v>0</v>
      </c>
      <c r="L88" s="31">
        <v>0</v>
      </c>
      <c r="M88" s="31">
        <v>1013.6</v>
      </c>
      <c r="N88" s="31">
        <v>4310000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f>ROUND(N88*1.4925%,2)</f>
        <v>64326.75</v>
      </c>
      <c r="AD88" s="31">
        <v>0</v>
      </c>
      <c r="AE88" s="31">
        <v>0</v>
      </c>
      <c r="AF88" s="34" t="s">
        <v>274</v>
      </c>
      <c r="AG88" s="34">
        <v>2020</v>
      </c>
      <c r="AH88" s="35">
        <v>2020</v>
      </c>
    </row>
    <row r="89" spans="1:34" ht="61.5" x14ac:dyDescent="0.85">
      <c r="A89" s="20">
        <v>1</v>
      </c>
      <c r="B89" s="66">
        <f>SUBTOTAL(103,$A$22:A89)</f>
        <v>68</v>
      </c>
      <c r="C89" s="24" t="s">
        <v>1173</v>
      </c>
      <c r="D89" s="31">
        <f t="shared" si="15"/>
        <v>3308655.5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3">
        <v>0</v>
      </c>
      <c r="L89" s="31">
        <v>0</v>
      </c>
      <c r="M89" s="31">
        <v>746.77</v>
      </c>
      <c r="N89" s="31">
        <v>3260000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f>ROUND(N89*1.4925%,2)</f>
        <v>48655.5</v>
      </c>
      <c r="AD89" s="31">
        <v>0</v>
      </c>
      <c r="AE89" s="31">
        <v>0</v>
      </c>
      <c r="AF89" s="34" t="s">
        <v>274</v>
      </c>
      <c r="AG89" s="34">
        <v>2020</v>
      </c>
      <c r="AH89" s="35">
        <v>2020</v>
      </c>
    </row>
    <row r="90" spans="1:34" ht="61.5" x14ac:dyDescent="0.85">
      <c r="A90" s="20">
        <v>1</v>
      </c>
      <c r="B90" s="66">
        <f>SUBTOTAL(103,$A$22:A90)</f>
        <v>69</v>
      </c>
      <c r="C90" s="24" t="s">
        <v>1174</v>
      </c>
      <c r="D90" s="31">
        <f t="shared" si="15"/>
        <v>2785299.21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3">
        <v>0</v>
      </c>
      <c r="L90" s="31">
        <v>0</v>
      </c>
      <c r="M90" s="31">
        <v>0</v>
      </c>
      <c r="N90" s="31">
        <v>0</v>
      </c>
      <c r="O90" s="31">
        <v>0</v>
      </c>
      <c r="P90" s="31">
        <v>0</v>
      </c>
      <c r="Q90" s="31">
        <v>1524.32</v>
      </c>
      <c r="R90" s="31">
        <v>2744339.94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f>ROUND(R90*1.4925%,2)</f>
        <v>40959.269999999997</v>
      </c>
      <c r="AD90" s="31">
        <v>0</v>
      </c>
      <c r="AE90" s="31">
        <v>0</v>
      </c>
      <c r="AF90" s="34" t="s">
        <v>274</v>
      </c>
      <c r="AG90" s="34">
        <v>2020</v>
      </c>
      <c r="AH90" s="35">
        <v>2020</v>
      </c>
    </row>
    <row r="91" spans="1:34" ht="61.5" x14ac:dyDescent="0.85">
      <c r="A91" s="20">
        <v>1</v>
      </c>
      <c r="B91" s="66">
        <f>SUBTOTAL(103,$A$22:A91)</f>
        <v>70</v>
      </c>
      <c r="C91" s="24" t="s">
        <v>1175</v>
      </c>
      <c r="D91" s="31">
        <f t="shared" si="15"/>
        <v>5678840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3">
        <v>0</v>
      </c>
      <c r="L91" s="31">
        <v>0</v>
      </c>
      <c r="M91" s="31">
        <v>0</v>
      </c>
      <c r="N91" s="31">
        <v>0</v>
      </c>
      <c r="O91" s="31">
        <v>0</v>
      </c>
      <c r="P91" s="31">
        <v>0</v>
      </c>
      <c r="Q91" s="31">
        <v>1343.2</v>
      </c>
      <c r="R91" s="31">
        <v>5595329.7000000002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f>ROUND(R91*1.4925%,2)</f>
        <v>83510.3</v>
      </c>
      <c r="AD91" s="31">
        <v>0</v>
      </c>
      <c r="AE91" s="31">
        <v>0</v>
      </c>
      <c r="AF91" s="34" t="s">
        <v>274</v>
      </c>
      <c r="AG91" s="34">
        <v>2020</v>
      </c>
      <c r="AH91" s="35">
        <v>2020</v>
      </c>
    </row>
    <row r="92" spans="1:34" ht="61.5" x14ac:dyDescent="0.85">
      <c r="A92" s="20">
        <v>1</v>
      </c>
      <c r="B92" s="66">
        <f>SUBTOTAL(103,$A$22:A92)</f>
        <v>71</v>
      </c>
      <c r="C92" s="24" t="s">
        <v>1176</v>
      </c>
      <c r="D92" s="31">
        <f t="shared" si="15"/>
        <v>2467681.02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3">
        <v>0</v>
      </c>
      <c r="L92" s="31">
        <v>0</v>
      </c>
      <c r="M92" s="31">
        <v>934.1</v>
      </c>
      <c r="N92" s="31">
        <v>2431392.4900000002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f>ROUND(N92*1.4925%,2)</f>
        <v>36288.53</v>
      </c>
      <c r="AD92" s="31">
        <v>0</v>
      </c>
      <c r="AE92" s="31">
        <v>0</v>
      </c>
      <c r="AF92" s="34" t="s">
        <v>274</v>
      </c>
      <c r="AG92" s="34">
        <v>2020</v>
      </c>
      <c r="AH92" s="35">
        <v>2020</v>
      </c>
    </row>
    <row r="93" spans="1:34" ht="61.5" x14ac:dyDescent="0.85">
      <c r="A93" s="20">
        <v>1</v>
      </c>
      <c r="B93" s="66">
        <f>SUBTOTAL(103,$A$22:A93)</f>
        <v>72</v>
      </c>
      <c r="C93" s="24" t="s">
        <v>1177</v>
      </c>
      <c r="D93" s="31">
        <f t="shared" si="15"/>
        <v>2471999.4900000002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3">
        <v>0</v>
      </c>
      <c r="L93" s="31">
        <v>0</v>
      </c>
      <c r="M93" s="31">
        <v>0</v>
      </c>
      <c r="N93" s="31">
        <v>0</v>
      </c>
      <c r="O93" s="31">
        <v>0</v>
      </c>
      <c r="P93" s="31">
        <v>0</v>
      </c>
      <c r="Q93" s="31">
        <v>494.5</v>
      </c>
      <c r="R93" s="31">
        <v>2435647.4500000002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f>ROUND(R93*1.4925%,2)</f>
        <v>36352.04</v>
      </c>
      <c r="AD93" s="31">
        <v>0</v>
      </c>
      <c r="AE93" s="31">
        <v>0</v>
      </c>
      <c r="AF93" s="34" t="s">
        <v>274</v>
      </c>
      <c r="AG93" s="34">
        <v>2020</v>
      </c>
      <c r="AH93" s="35">
        <v>2020</v>
      </c>
    </row>
    <row r="94" spans="1:34" ht="61.5" x14ac:dyDescent="0.85">
      <c r="A94" s="20">
        <v>1</v>
      </c>
      <c r="B94" s="66">
        <f>SUBTOTAL(103,$A$22:A94)</f>
        <v>73</v>
      </c>
      <c r="C94" s="24" t="s">
        <v>1178</v>
      </c>
      <c r="D94" s="31">
        <f t="shared" si="15"/>
        <v>3730864.3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3">
        <v>0</v>
      </c>
      <c r="L94" s="31">
        <v>0</v>
      </c>
      <c r="M94" s="31">
        <v>1554.3</v>
      </c>
      <c r="N94" s="31">
        <v>3676000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f>ROUND(N94*1.4925%,2)</f>
        <v>54864.3</v>
      </c>
      <c r="AD94" s="31">
        <v>0</v>
      </c>
      <c r="AE94" s="31">
        <v>0</v>
      </c>
      <c r="AF94" s="34" t="s">
        <v>274</v>
      </c>
      <c r="AG94" s="34">
        <v>2020</v>
      </c>
      <c r="AH94" s="35">
        <v>2020</v>
      </c>
    </row>
    <row r="95" spans="1:34" ht="61.5" x14ac:dyDescent="0.85">
      <c r="A95" s="20">
        <v>1</v>
      </c>
      <c r="B95" s="66">
        <f>SUBTOTAL(103,$A$22:A95)</f>
        <v>74</v>
      </c>
      <c r="C95" s="24" t="s">
        <v>1179</v>
      </c>
      <c r="D95" s="31">
        <f t="shared" si="15"/>
        <v>2982453.63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3">
        <v>0</v>
      </c>
      <c r="L95" s="31">
        <v>0</v>
      </c>
      <c r="M95" s="31">
        <v>450</v>
      </c>
      <c r="N95" s="31">
        <v>2938595.1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f>ROUND(N95*1.4925%,2)</f>
        <v>43858.53</v>
      </c>
      <c r="AD95" s="31">
        <v>0</v>
      </c>
      <c r="AE95" s="31">
        <v>0</v>
      </c>
      <c r="AF95" s="34" t="s">
        <v>274</v>
      </c>
      <c r="AG95" s="34">
        <v>2020</v>
      </c>
      <c r="AH95" s="35">
        <v>2020</v>
      </c>
    </row>
    <row r="96" spans="1:34" ht="61.5" x14ac:dyDescent="0.85">
      <c r="A96" s="20">
        <v>1</v>
      </c>
      <c r="B96" s="66">
        <f>SUBTOTAL(103,$A$22:A96)</f>
        <v>75</v>
      </c>
      <c r="C96" s="24" t="s">
        <v>1180</v>
      </c>
      <c r="D96" s="31">
        <f t="shared" si="15"/>
        <v>1571848.57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3">
        <v>0</v>
      </c>
      <c r="L96" s="31">
        <v>0</v>
      </c>
      <c r="M96" s="31">
        <v>450</v>
      </c>
      <c r="N96" s="31">
        <v>1548733.72</v>
      </c>
      <c r="O96" s="31">
        <v>0</v>
      </c>
      <c r="P96" s="31">
        <v>0</v>
      </c>
      <c r="Q96" s="31">
        <v>0</v>
      </c>
      <c r="R96" s="31">
        <v>0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f>ROUND(N96*1.4925%,2)</f>
        <v>23114.85</v>
      </c>
      <c r="AD96" s="31">
        <v>0</v>
      </c>
      <c r="AE96" s="31">
        <v>0</v>
      </c>
      <c r="AF96" s="34" t="s">
        <v>274</v>
      </c>
      <c r="AG96" s="34">
        <v>2020</v>
      </c>
      <c r="AH96" s="35">
        <v>2020</v>
      </c>
    </row>
    <row r="97" spans="1:34" ht="61.5" x14ac:dyDescent="0.85">
      <c r="A97" s="20">
        <v>1</v>
      </c>
      <c r="B97" s="66">
        <f>SUBTOTAL(103,$A$22:A97)</f>
        <v>76</v>
      </c>
      <c r="C97" s="24" t="s">
        <v>1181</v>
      </c>
      <c r="D97" s="31">
        <f t="shared" si="15"/>
        <v>1564566.8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3">
        <v>0</v>
      </c>
      <c r="L97" s="31">
        <v>0</v>
      </c>
      <c r="M97" s="31">
        <v>450</v>
      </c>
      <c r="N97" s="31">
        <v>1541445.12</v>
      </c>
      <c r="O97" s="31">
        <v>0</v>
      </c>
      <c r="P97" s="31">
        <v>0</v>
      </c>
      <c r="Q97" s="31">
        <v>0</v>
      </c>
      <c r="R97" s="31">
        <v>0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f>ROUND(N97*1.5%,2)</f>
        <v>23121.68</v>
      </c>
      <c r="AD97" s="31">
        <v>0</v>
      </c>
      <c r="AE97" s="31">
        <v>0</v>
      </c>
      <c r="AF97" s="34" t="s">
        <v>274</v>
      </c>
      <c r="AG97" s="34">
        <v>2020</v>
      </c>
      <c r="AH97" s="35">
        <v>2020</v>
      </c>
    </row>
    <row r="98" spans="1:34" ht="61.5" x14ac:dyDescent="0.85">
      <c r="A98" s="20">
        <v>1</v>
      </c>
      <c r="B98" s="66">
        <f>SUBTOTAL(103,$A$22:A98)</f>
        <v>77</v>
      </c>
      <c r="C98" s="24" t="s">
        <v>1182</v>
      </c>
      <c r="D98" s="31">
        <f t="shared" si="15"/>
        <v>3053913.67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3">
        <v>2</v>
      </c>
      <c r="L98" s="31">
        <v>3053913.67</v>
      </c>
      <c r="M98" s="31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v>0</v>
      </c>
      <c r="AF98" s="34" t="s">
        <v>274</v>
      </c>
      <c r="AG98" s="34">
        <v>2020</v>
      </c>
      <c r="AH98" s="35" t="s">
        <v>274</v>
      </c>
    </row>
    <row r="99" spans="1:34" ht="61.5" x14ac:dyDescent="0.85">
      <c r="A99" s="20">
        <v>1</v>
      </c>
      <c r="B99" s="66">
        <f>SUBTOTAL(103,$A$22:A99)</f>
        <v>78</v>
      </c>
      <c r="C99" s="24" t="s">
        <v>1183</v>
      </c>
      <c r="D99" s="31">
        <f t="shared" si="15"/>
        <v>4090124.09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3">
        <v>2</v>
      </c>
      <c r="L99" s="31">
        <v>4090124.09</v>
      </c>
      <c r="M99" s="31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0</v>
      </c>
      <c r="AD99" s="31">
        <v>0</v>
      </c>
      <c r="AE99" s="31">
        <v>0</v>
      </c>
      <c r="AF99" s="34" t="s">
        <v>274</v>
      </c>
      <c r="AG99" s="34">
        <v>2020</v>
      </c>
      <c r="AH99" s="35" t="s">
        <v>274</v>
      </c>
    </row>
    <row r="100" spans="1:34" ht="61.5" x14ac:dyDescent="0.85">
      <c r="A100" s="20">
        <v>1</v>
      </c>
      <c r="B100" s="66">
        <f>SUBTOTAL(103,$A$22:A100)</f>
        <v>79</v>
      </c>
      <c r="C100" s="24" t="s">
        <v>1184</v>
      </c>
      <c r="D100" s="31">
        <f t="shared" si="15"/>
        <v>1338055.4100000001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3">
        <v>0</v>
      </c>
      <c r="L100" s="31">
        <v>0</v>
      </c>
      <c r="M100" s="31">
        <v>0</v>
      </c>
      <c r="N100" s="31">
        <v>0</v>
      </c>
      <c r="O100" s="31">
        <v>278</v>
      </c>
      <c r="P100" s="31">
        <v>1318378.6100000001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f>ROUND(P100*1.4925%,2)</f>
        <v>19676.8</v>
      </c>
      <c r="AD100" s="31">
        <v>0</v>
      </c>
      <c r="AE100" s="31">
        <v>0</v>
      </c>
      <c r="AF100" s="34" t="s">
        <v>274</v>
      </c>
      <c r="AG100" s="34">
        <v>2020</v>
      </c>
      <c r="AH100" s="35">
        <v>2020</v>
      </c>
    </row>
    <row r="101" spans="1:34" ht="61.5" x14ac:dyDescent="0.85">
      <c r="A101" s="20">
        <v>1</v>
      </c>
      <c r="B101" s="66">
        <f>SUBTOTAL(103,$A$22:A101)</f>
        <v>80</v>
      </c>
      <c r="C101" s="24" t="s">
        <v>1185</v>
      </c>
      <c r="D101" s="31">
        <f t="shared" si="15"/>
        <v>221655.15999999997</v>
      </c>
      <c r="E101" s="31">
        <v>102509.44</v>
      </c>
      <c r="F101" s="31">
        <v>0</v>
      </c>
      <c r="G101" s="31">
        <v>0</v>
      </c>
      <c r="H101" s="31">
        <v>115886.17</v>
      </c>
      <c r="I101" s="31">
        <v>0</v>
      </c>
      <c r="J101" s="31">
        <v>0</v>
      </c>
      <c r="K101" s="33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f>ROUND((E101+F101+G101+H101+I101+J101)*1.4925%,2)</f>
        <v>3259.55</v>
      </c>
      <c r="AD101" s="31">
        <v>0</v>
      </c>
      <c r="AE101" s="31">
        <v>0</v>
      </c>
      <c r="AF101" s="34" t="s">
        <v>274</v>
      </c>
      <c r="AG101" s="34">
        <v>2020</v>
      </c>
      <c r="AH101" s="35">
        <v>2020</v>
      </c>
    </row>
    <row r="102" spans="1:34" ht="61.5" x14ac:dyDescent="0.85">
      <c r="A102" s="20">
        <v>1</v>
      </c>
      <c r="B102" s="66">
        <f>SUBTOTAL(103,$A$22:A102)</f>
        <v>81</v>
      </c>
      <c r="C102" s="24" t="s">
        <v>1186</v>
      </c>
      <c r="D102" s="31">
        <f t="shared" si="15"/>
        <v>424166.91999999993</v>
      </c>
      <c r="E102" s="31">
        <v>138685.66</v>
      </c>
      <c r="F102" s="31">
        <v>0</v>
      </c>
      <c r="G102" s="31">
        <v>0</v>
      </c>
      <c r="H102" s="31">
        <v>279243.65999999997</v>
      </c>
      <c r="I102" s="31">
        <v>0</v>
      </c>
      <c r="J102" s="31">
        <v>0</v>
      </c>
      <c r="K102" s="33">
        <v>0</v>
      </c>
      <c r="L102" s="31">
        <v>0</v>
      </c>
      <c r="M102" s="31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f>ROUND((E102+F102+G102+H102+I102+J102)*1.4925%,2)</f>
        <v>6237.6</v>
      </c>
      <c r="AD102" s="31">
        <v>0</v>
      </c>
      <c r="AE102" s="31">
        <v>0</v>
      </c>
      <c r="AF102" s="34" t="s">
        <v>274</v>
      </c>
      <c r="AG102" s="34">
        <v>2020</v>
      </c>
      <c r="AH102" s="35">
        <v>2020</v>
      </c>
    </row>
    <row r="103" spans="1:34" ht="61.5" x14ac:dyDescent="0.85">
      <c r="A103" s="20">
        <v>1</v>
      </c>
      <c r="B103" s="66">
        <f>SUBTOTAL(103,$A$22:A103)</f>
        <v>82</v>
      </c>
      <c r="C103" s="24" t="s">
        <v>1187</v>
      </c>
      <c r="D103" s="31">
        <f t="shared" si="15"/>
        <v>1681523.88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3">
        <v>0</v>
      </c>
      <c r="L103" s="31">
        <v>0</v>
      </c>
      <c r="M103" s="31">
        <v>453.4</v>
      </c>
      <c r="N103" s="31">
        <v>1656796.2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f>ROUND(N103*1.4925%,2)</f>
        <v>24727.68</v>
      </c>
      <c r="AD103" s="31">
        <v>0</v>
      </c>
      <c r="AE103" s="31">
        <v>0</v>
      </c>
      <c r="AF103" s="34" t="s">
        <v>274</v>
      </c>
      <c r="AG103" s="34">
        <v>2020</v>
      </c>
      <c r="AH103" s="35">
        <v>2020</v>
      </c>
    </row>
    <row r="104" spans="1:34" ht="61.5" x14ac:dyDescent="0.85">
      <c r="A104" s="20">
        <v>1</v>
      </c>
      <c r="B104" s="66">
        <f>SUBTOTAL(103,$A$22:A104)</f>
        <v>83</v>
      </c>
      <c r="C104" s="24" t="s">
        <v>1188</v>
      </c>
      <c r="D104" s="31">
        <f t="shared" si="15"/>
        <v>1772415.75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3">
        <v>0</v>
      </c>
      <c r="L104" s="31">
        <v>0</v>
      </c>
      <c r="M104" s="31">
        <v>523.98</v>
      </c>
      <c r="N104" s="31">
        <v>1746351.45</v>
      </c>
      <c r="O104" s="31">
        <v>0</v>
      </c>
      <c r="P104" s="31">
        <v>0</v>
      </c>
      <c r="Q104" s="31">
        <v>0</v>
      </c>
      <c r="R104" s="31">
        <v>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f>ROUND(N104*1.4925%,2)</f>
        <v>26064.3</v>
      </c>
      <c r="AD104" s="31">
        <v>0</v>
      </c>
      <c r="AE104" s="31">
        <v>0</v>
      </c>
      <c r="AF104" s="34" t="s">
        <v>274</v>
      </c>
      <c r="AG104" s="34">
        <v>2020</v>
      </c>
      <c r="AH104" s="35">
        <v>2020</v>
      </c>
    </row>
    <row r="105" spans="1:34" ht="61.5" x14ac:dyDescent="0.85">
      <c r="A105" s="20">
        <v>1</v>
      </c>
      <c r="B105" s="66">
        <f>SUBTOTAL(103,$A$22:A105)</f>
        <v>84</v>
      </c>
      <c r="C105" s="24" t="s">
        <v>1189</v>
      </c>
      <c r="D105" s="31">
        <f t="shared" si="15"/>
        <v>3695414.32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3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1389</v>
      </c>
      <c r="R105" s="31">
        <v>3640802.29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f>ROUND(R105*1.5%,2)</f>
        <v>54612.03</v>
      </c>
      <c r="AD105" s="31">
        <v>0</v>
      </c>
      <c r="AE105" s="31">
        <v>0</v>
      </c>
      <c r="AF105" s="34" t="s">
        <v>274</v>
      </c>
      <c r="AG105" s="34">
        <v>2020</v>
      </c>
      <c r="AH105" s="35">
        <v>2020</v>
      </c>
    </row>
    <row r="106" spans="1:34" ht="61.5" x14ac:dyDescent="0.85">
      <c r="A106" s="20">
        <v>1</v>
      </c>
      <c r="B106" s="66">
        <f>SUBTOTAL(103,$A$22:A106)</f>
        <v>85</v>
      </c>
      <c r="C106" s="24" t="s">
        <v>1190</v>
      </c>
      <c r="D106" s="31">
        <f t="shared" si="15"/>
        <v>3246745.9499999997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3">
        <v>0</v>
      </c>
      <c r="L106" s="31">
        <v>0</v>
      </c>
      <c r="M106" s="31">
        <v>1093</v>
      </c>
      <c r="N106" s="31">
        <v>3199000.86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f>ROUND(N106*1.4925%,2)</f>
        <v>47745.09</v>
      </c>
      <c r="AD106" s="31">
        <v>0</v>
      </c>
      <c r="AE106" s="31">
        <v>0</v>
      </c>
      <c r="AF106" s="34" t="s">
        <v>274</v>
      </c>
      <c r="AG106" s="34">
        <v>2020</v>
      </c>
      <c r="AH106" s="35">
        <v>2020</v>
      </c>
    </row>
    <row r="107" spans="1:34" ht="61.5" x14ac:dyDescent="0.85">
      <c r="A107" s="20">
        <v>1</v>
      </c>
      <c r="B107" s="66">
        <f>SUBTOTAL(103,$A$22:A107)</f>
        <v>86</v>
      </c>
      <c r="C107" s="24" t="s">
        <v>1191</v>
      </c>
      <c r="D107" s="31">
        <f t="shared" si="15"/>
        <v>3669425.82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3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1778.5</v>
      </c>
      <c r="R107" s="31">
        <v>3615465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f>ROUND(R107*1.4925%,2)</f>
        <v>53960.82</v>
      </c>
      <c r="AD107" s="31">
        <v>0</v>
      </c>
      <c r="AE107" s="31">
        <v>0</v>
      </c>
      <c r="AF107" s="34" t="s">
        <v>274</v>
      </c>
      <c r="AG107" s="34">
        <v>2020</v>
      </c>
      <c r="AH107" s="35">
        <v>2020</v>
      </c>
    </row>
    <row r="108" spans="1:34" ht="61.5" x14ac:dyDescent="0.85">
      <c r="A108" s="20">
        <v>1</v>
      </c>
      <c r="B108" s="66">
        <f>SUBTOTAL(103,$A$22:A108)</f>
        <v>87</v>
      </c>
      <c r="C108" s="24" t="s">
        <v>1192</v>
      </c>
      <c r="D108" s="31">
        <f t="shared" si="15"/>
        <v>3912440.41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3">
        <v>0</v>
      </c>
      <c r="L108" s="31">
        <v>0</v>
      </c>
      <c r="M108" s="31">
        <v>900.3</v>
      </c>
      <c r="N108" s="31">
        <v>3854905.94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f>ROUND(N108*1.4925%,2)</f>
        <v>57534.47</v>
      </c>
      <c r="AD108" s="31">
        <v>0</v>
      </c>
      <c r="AE108" s="31">
        <v>0</v>
      </c>
      <c r="AF108" s="34" t="s">
        <v>274</v>
      </c>
      <c r="AG108" s="34">
        <v>2020</v>
      </c>
      <c r="AH108" s="35">
        <v>2020</v>
      </c>
    </row>
    <row r="109" spans="1:34" ht="61.5" x14ac:dyDescent="0.85">
      <c r="A109" s="20">
        <v>1</v>
      </c>
      <c r="B109" s="66">
        <f>SUBTOTAL(103,$A$22:A109)</f>
        <v>88</v>
      </c>
      <c r="C109" s="24" t="s">
        <v>1193</v>
      </c>
      <c r="D109" s="31">
        <f t="shared" si="15"/>
        <v>3455727.78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3">
        <v>0</v>
      </c>
      <c r="L109" s="31">
        <v>0</v>
      </c>
      <c r="M109" s="31">
        <v>0</v>
      </c>
      <c r="N109" s="31">
        <v>0</v>
      </c>
      <c r="O109" s="31">
        <v>0</v>
      </c>
      <c r="P109" s="31">
        <v>0</v>
      </c>
      <c r="Q109" s="31">
        <v>820</v>
      </c>
      <c r="R109" s="31">
        <v>3404909.5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f>ROUND(R109*1.4925%,2)+0.01</f>
        <v>50818.28</v>
      </c>
      <c r="AD109" s="31">
        <v>0</v>
      </c>
      <c r="AE109" s="31">
        <v>0</v>
      </c>
      <c r="AF109" s="34" t="s">
        <v>274</v>
      </c>
      <c r="AG109" s="34">
        <v>2020</v>
      </c>
      <c r="AH109" s="35">
        <v>2020</v>
      </c>
    </row>
    <row r="110" spans="1:34" ht="61.5" x14ac:dyDescent="0.85">
      <c r="A110" s="20">
        <v>1</v>
      </c>
      <c r="B110" s="66">
        <f>SUBTOTAL(103,$A$22:A110)</f>
        <v>89</v>
      </c>
      <c r="C110" s="24" t="s">
        <v>1194</v>
      </c>
      <c r="D110" s="31">
        <f t="shared" si="15"/>
        <v>1962348.35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3">
        <v>0</v>
      </c>
      <c r="L110" s="31">
        <v>0</v>
      </c>
      <c r="M110" s="31">
        <v>0</v>
      </c>
      <c r="N110" s="31">
        <v>0</v>
      </c>
      <c r="O110" s="31">
        <v>0</v>
      </c>
      <c r="P110" s="31">
        <v>0</v>
      </c>
      <c r="Q110" s="31">
        <v>511</v>
      </c>
      <c r="R110" s="31">
        <v>1933491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f>ROUND(R110*1.4925%,2)</f>
        <v>28857.35</v>
      </c>
      <c r="AD110" s="31">
        <v>0</v>
      </c>
      <c r="AE110" s="31">
        <v>0</v>
      </c>
      <c r="AF110" s="34" t="s">
        <v>274</v>
      </c>
      <c r="AG110" s="34">
        <v>2020</v>
      </c>
      <c r="AH110" s="35">
        <v>2020</v>
      </c>
    </row>
    <row r="111" spans="1:34" ht="61.5" x14ac:dyDescent="0.85">
      <c r="A111" s="20">
        <v>1</v>
      </c>
      <c r="B111" s="66">
        <f>SUBTOTAL(103,$A$22:A111)</f>
        <v>90</v>
      </c>
      <c r="C111" s="24" t="s">
        <v>1195</v>
      </c>
      <c r="D111" s="31">
        <f t="shared" si="15"/>
        <v>2187554.12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3">
        <v>0</v>
      </c>
      <c r="L111" s="31">
        <v>0</v>
      </c>
      <c r="M111" s="31">
        <v>0</v>
      </c>
      <c r="N111" s="31">
        <v>0</v>
      </c>
      <c r="O111" s="31">
        <v>0</v>
      </c>
      <c r="P111" s="31">
        <v>0</v>
      </c>
      <c r="Q111" s="31">
        <v>515.73</v>
      </c>
      <c r="R111" s="31">
        <v>2155385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f>ROUND(R111*1.4925%,2)</f>
        <v>32169.119999999999</v>
      </c>
      <c r="AD111" s="31">
        <v>0</v>
      </c>
      <c r="AE111" s="31">
        <v>0</v>
      </c>
      <c r="AF111" s="34" t="s">
        <v>274</v>
      </c>
      <c r="AG111" s="34">
        <v>2020</v>
      </c>
      <c r="AH111" s="35">
        <v>2020</v>
      </c>
    </row>
    <row r="112" spans="1:34" ht="61.5" x14ac:dyDescent="0.85">
      <c r="A112" s="20">
        <v>1</v>
      </c>
      <c r="B112" s="66">
        <f>SUBTOTAL(103,$A$22:A112)</f>
        <v>91</v>
      </c>
      <c r="C112" s="24" t="s">
        <v>1196</v>
      </c>
      <c r="D112" s="31">
        <f t="shared" si="15"/>
        <v>3257277.38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3">
        <v>0</v>
      </c>
      <c r="L112" s="31">
        <v>0</v>
      </c>
      <c r="M112" s="31">
        <v>0</v>
      </c>
      <c r="N112" s="31">
        <v>0</v>
      </c>
      <c r="O112" s="31">
        <v>0</v>
      </c>
      <c r="P112" s="31">
        <v>0</v>
      </c>
      <c r="Q112" s="31">
        <v>1522.8</v>
      </c>
      <c r="R112" s="31">
        <v>3209377.42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f>ROUND(R112*1.4925%,2)</f>
        <v>47899.96</v>
      </c>
      <c r="AD112" s="31">
        <v>0</v>
      </c>
      <c r="AE112" s="31">
        <v>0</v>
      </c>
      <c r="AF112" s="34" t="s">
        <v>274</v>
      </c>
      <c r="AG112" s="34">
        <v>2020</v>
      </c>
      <c r="AH112" s="35">
        <v>2020</v>
      </c>
    </row>
    <row r="113" spans="1:34" ht="61.5" x14ac:dyDescent="0.85">
      <c r="A113" s="20">
        <v>1</v>
      </c>
      <c r="B113" s="66">
        <f>SUBTOTAL(103,$A$22:A113)</f>
        <v>92</v>
      </c>
      <c r="C113" s="24" t="s">
        <v>1197</v>
      </c>
      <c r="D113" s="31">
        <f t="shared" si="15"/>
        <v>2605764.88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3">
        <v>0</v>
      </c>
      <c r="L113" s="31">
        <v>0</v>
      </c>
      <c r="M113" s="31">
        <v>624.25</v>
      </c>
      <c r="N113" s="31">
        <v>2567078.46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38686.42</v>
      </c>
      <c r="AD113" s="31">
        <v>0</v>
      </c>
      <c r="AE113" s="31">
        <v>0</v>
      </c>
      <c r="AF113" s="34" t="s">
        <v>274</v>
      </c>
      <c r="AG113" s="34">
        <v>2020</v>
      </c>
      <c r="AH113" s="35">
        <v>2020</v>
      </c>
    </row>
    <row r="114" spans="1:34" ht="61.5" x14ac:dyDescent="0.85">
      <c r="A114" s="20">
        <v>1</v>
      </c>
      <c r="B114" s="66">
        <f>SUBTOTAL(103,$A$22:A114)</f>
        <v>93</v>
      </c>
      <c r="C114" s="24" t="s">
        <v>1198</v>
      </c>
      <c r="D114" s="31">
        <f t="shared" si="15"/>
        <v>2358734.42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3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649.6</v>
      </c>
      <c r="R114" s="31">
        <v>2324048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f>ROUND(R114*1.4925%,2)</f>
        <v>34686.42</v>
      </c>
      <c r="AD114" s="31">
        <v>0</v>
      </c>
      <c r="AE114" s="31">
        <v>0</v>
      </c>
      <c r="AF114" s="34" t="s">
        <v>274</v>
      </c>
      <c r="AG114" s="34">
        <v>2020</v>
      </c>
      <c r="AH114" s="35">
        <v>2020</v>
      </c>
    </row>
    <row r="115" spans="1:34" ht="61.5" x14ac:dyDescent="0.85">
      <c r="A115" s="20">
        <v>1</v>
      </c>
      <c r="B115" s="66">
        <f>SUBTOTAL(103,$A$22:A115)</f>
        <v>94</v>
      </c>
      <c r="C115" s="24" t="s">
        <v>1199</v>
      </c>
      <c r="D115" s="31">
        <f t="shared" si="15"/>
        <v>1057247.3700000001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3">
        <v>0</v>
      </c>
      <c r="L115" s="31">
        <v>0</v>
      </c>
      <c r="M115" s="31">
        <v>0</v>
      </c>
      <c r="N115" s="31">
        <v>0</v>
      </c>
      <c r="O115" s="31">
        <v>780</v>
      </c>
      <c r="P115" s="31">
        <v>1041700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f>ROUND(P115*1.4925%,2)</f>
        <v>15547.37</v>
      </c>
      <c r="AD115" s="31">
        <v>0</v>
      </c>
      <c r="AE115" s="31">
        <v>0</v>
      </c>
      <c r="AF115" s="34" t="s">
        <v>274</v>
      </c>
      <c r="AG115" s="34">
        <v>2020</v>
      </c>
      <c r="AH115" s="35">
        <v>2020</v>
      </c>
    </row>
    <row r="116" spans="1:34" ht="61.5" x14ac:dyDescent="0.85">
      <c r="A116" s="20">
        <v>1</v>
      </c>
      <c r="B116" s="66">
        <f>SUBTOTAL(103,$A$22:A116)</f>
        <v>95</v>
      </c>
      <c r="C116" s="24" t="s">
        <v>1200</v>
      </c>
      <c r="D116" s="31">
        <f t="shared" si="15"/>
        <v>5231607.8099999996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3">
        <v>0</v>
      </c>
      <c r="L116" s="31">
        <v>0</v>
      </c>
      <c r="M116" s="31">
        <v>1151.2</v>
      </c>
      <c r="N116" s="31">
        <v>5085703.68</v>
      </c>
      <c r="O116" s="31">
        <v>0</v>
      </c>
      <c r="P116" s="31">
        <v>0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f>ROUND(N116*1.4925%,2)</f>
        <v>75904.13</v>
      </c>
      <c r="AD116" s="31">
        <v>70000</v>
      </c>
      <c r="AE116" s="31">
        <v>0</v>
      </c>
      <c r="AF116" s="34">
        <v>2020</v>
      </c>
      <c r="AG116" s="34">
        <v>2020</v>
      </c>
      <c r="AH116" s="35">
        <v>2020</v>
      </c>
    </row>
    <row r="117" spans="1:34" ht="61.5" x14ac:dyDescent="0.85">
      <c r="A117" s="20">
        <v>1</v>
      </c>
      <c r="B117" s="66">
        <f>SUBTOTAL(103,$A$22:A117)</f>
        <v>96</v>
      </c>
      <c r="C117" s="24" t="s">
        <v>1201</v>
      </c>
      <c r="D117" s="31">
        <f t="shared" si="15"/>
        <v>2273804.56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3">
        <v>0</v>
      </c>
      <c r="L117" s="31">
        <v>0</v>
      </c>
      <c r="M117" s="31">
        <v>543.4</v>
      </c>
      <c r="N117" s="31">
        <v>2166470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f t="shared" ref="AC117:AC118" si="16">ROUND(N117*1.4925%,2)</f>
        <v>32334.560000000001</v>
      </c>
      <c r="AD117" s="31">
        <f>75000</f>
        <v>75000</v>
      </c>
      <c r="AE117" s="31">
        <v>0</v>
      </c>
      <c r="AF117" s="34">
        <v>2020</v>
      </c>
      <c r="AG117" s="34">
        <v>2020</v>
      </c>
      <c r="AH117" s="35">
        <v>2020</v>
      </c>
    </row>
    <row r="118" spans="1:34" ht="61.5" x14ac:dyDescent="0.85">
      <c r="A118" s="20">
        <v>1</v>
      </c>
      <c r="B118" s="66">
        <f>SUBTOTAL(103,$A$22:A118)</f>
        <v>97</v>
      </c>
      <c r="C118" s="24" t="s">
        <v>1202</v>
      </c>
      <c r="D118" s="31">
        <f t="shared" si="15"/>
        <v>2765824.94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3">
        <v>0</v>
      </c>
      <c r="L118" s="31">
        <v>0</v>
      </c>
      <c r="M118" s="31">
        <v>665</v>
      </c>
      <c r="N118" s="31">
        <v>2653225</v>
      </c>
      <c r="O118" s="31">
        <v>0</v>
      </c>
      <c r="P118" s="31">
        <v>0</v>
      </c>
      <c r="Q118" s="31">
        <v>0</v>
      </c>
      <c r="R118" s="31">
        <v>0</v>
      </c>
      <c r="S118" s="31">
        <v>0</v>
      </c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f t="shared" si="16"/>
        <v>39599.379999999997</v>
      </c>
      <c r="AD118" s="31">
        <v>73000.56</v>
      </c>
      <c r="AE118" s="31">
        <v>0</v>
      </c>
      <c r="AF118" s="34">
        <v>2020</v>
      </c>
      <c r="AG118" s="34">
        <v>2020</v>
      </c>
      <c r="AH118" s="35">
        <v>2020</v>
      </c>
    </row>
    <row r="119" spans="1:34" ht="61.5" x14ac:dyDescent="0.85">
      <c r="A119" s="20">
        <v>1</v>
      </c>
      <c r="B119" s="66">
        <f>SUBTOTAL(103,$A$22:A119)</f>
        <v>98</v>
      </c>
      <c r="C119" s="24" t="s">
        <v>1203</v>
      </c>
      <c r="D119" s="31">
        <f t="shared" si="15"/>
        <v>2333046.9300000002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3">
        <v>0</v>
      </c>
      <c r="L119" s="31">
        <v>0</v>
      </c>
      <c r="M119" s="31">
        <v>0</v>
      </c>
      <c r="N119" s="31">
        <v>0</v>
      </c>
      <c r="O119" s="31">
        <v>0</v>
      </c>
      <c r="P119" s="31">
        <v>0</v>
      </c>
      <c r="Q119" s="31">
        <v>590</v>
      </c>
      <c r="R119" s="31">
        <v>2220900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f>ROUND(R119*1.4925%,2)</f>
        <v>33146.93</v>
      </c>
      <c r="AD119" s="31">
        <v>79000</v>
      </c>
      <c r="AE119" s="31">
        <v>0</v>
      </c>
      <c r="AF119" s="34">
        <v>2020</v>
      </c>
      <c r="AG119" s="34">
        <v>2020</v>
      </c>
      <c r="AH119" s="35">
        <v>2020</v>
      </c>
    </row>
    <row r="120" spans="1:34" ht="61.5" x14ac:dyDescent="0.85">
      <c r="A120" s="20">
        <v>1</v>
      </c>
      <c r="B120" s="66">
        <f>SUBTOTAL(103,$A$22:A120)</f>
        <v>99</v>
      </c>
      <c r="C120" s="24" t="s">
        <v>1204</v>
      </c>
      <c r="D120" s="31">
        <f t="shared" si="15"/>
        <v>2030984.36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3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450.1</v>
      </c>
      <c r="R120" s="31">
        <v>1942000.01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f>ROUND(R120*1.4925%,2)</f>
        <v>28984.35</v>
      </c>
      <c r="AD120" s="31">
        <v>60000</v>
      </c>
      <c r="AE120" s="31">
        <v>0</v>
      </c>
      <c r="AF120" s="34">
        <v>2020</v>
      </c>
      <c r="AG120" s="34">
        <v>2020</v>
      </c>
      <c r="AH120" s="35">
        <v>2020</v>
      </c>
    </row>
    <row r="121" spans="1:34" ht="61.5" x14ac:dyDescent="0.85">
      <c r="A121" s="20">
        <v>1</v>
      </c>
      <c r="B121" s="66">
        <f>SUBTOTAL(103,$A$22:A121)</f>
        <v>100</v>
      </c>
      <c r="C121" s="24" t="s">
        <v>1643</v>
      </c>
      <c r="D121" s="31">
        <f>E121+F121+G121+H121+I121+J121+L121+N121+P121+R121+T121+U121+V121+W121+X121+Y121+Z121+AA121+AB121+AC121+AD121+AE121</f>
        <v>1703365.06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3">
        <v>0</v>
      </c>
      <c r="L121" s="31">
        <v>0</v>
      </c>
      <c r="M121" s="31">
        <v>484</v>
      </c>
      <c r="N121" s="31">
        <v>1703365.06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4" t="s">
        <v>274</v>
      </c>
      <c r="AG121" s="34">
        <v>2020</v>
      </c>
      <c r="AH121" s="35" t="s">
        <v>274</v>
      </c>
    </row>
    <row r="122" spans="1:34" ht="61.5" x14ac:dyDescent="0.85">
      <c r="A122" s="20">
        <v>1</v>
      </c>
      <c r="B122" s="66">
        <f>SUBTOTAL(103,$A$22:A122)</f>
        <v>101</v>
      </c>
      <c r="C122" s="24" t="s">
        <v>1639</v>
      </c>
      <c r="D122" s="31">
        <f>E122+F122+G122+H122+I122+J122+L122+N122+P122+R122+T122+U122+V122+W122+X122+Y122+Z122+AA122+AB122+AC122+AD122+AE122</f>
        <v>4228031.93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3">
        <v>0</v>
      </c>
      <c r="L122" s="31">
        <v>0</v>
      </c>
      <c r="M122" s="31">
        <v>900</v>
      </c>
      <c r="N122" s="31">
        <v>4165856.52</v>
      </c>
      <c r="O122" s="31">
        <v>0</v>
      </c>
      <c r="P122" s="31">
        <v>0</v>
      </c>
      <c r="Q122" s="31">
        <v>0</v>
      </c>
      <c r="R122" s="31">
        <v>0</v>
      </c>
      <c r="S122" s="31">
        <v>0</v>
      </c>
      <c r="T122" s="31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f>ROUND(N122*1.4925%,2)</f>
        <v>62175.41</v>
      </c>
      <c r="AD122" s="31">
        <v>0</v>
      </c>
      <c r="AE122" s="31">
        <v>0</v>
      </c>
      <c r="AF122" s="34" t="s">
        <v>274</v>
      </c>
      <c r="AG122" s="34">
        <v>2020</v>
      </c>
      <c r="AH122" s="35">
        <v>2020</v>
      </c>
    </row>
    <row r="123" spans="1:34" ht="61.5" x14ac:dyDescent="0.85">
      <c r="A123" s="20">
        <v>1</v>
      </c>
      <c r="B123" s="66">
        <f>SUBTOTAL(103,$A$22:A123)</f>
        <v>102</v>
      </c>
      <c r="C123" s="24" t="s">
        <v>1642</v>
      </c>
      <c r="D123" s="31">
        <f>E123+F123+G123+H123+I123+J123+L123+N123+P123+R123+T123+U123+V123+W123+X123+Y123+Z123+AA123+AB123+AC123+AD123+AE123</f>
        <v>5636811.5700000003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3">
        <v>0</v>
      </c>
      <c r="L123" s="31">
        <v>0</v>
      </c>
      <c r="M123" s="31">
        <v>1004.3</v>
      </c>
      <c r="N123" s="31">
        <v>5553919.3200000003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f>ROUND(N123*1.4925%,2)</f>
        <v>82892.25</v>
      </c>
      <c r="AD123" s="31">
        <v>0</v>
      </c>
      <c r="AE123" s="31">
        <v>0</v>
      </c>
      <c r="AF123" s="34" t="s">
        <v>274</v>
      </c>
      <c r="AG123" s="34">
        <v>2020</v>
      </c>
      <c r="AH123" s="35">
        <v>2020</v>
      </c>
    </row>
    <row r="124" spans="1:34" ht="61.5" x14ac:dyDescent="0.85">
      <c r="A124" s="20">
        <v>1</v>
      </c>
      <c r="B124" s="66">
        <f>SUBTOTAL(103,$A$22:A124)</f>
        <v>103</v>
      </c>
      <c r="C124" s="24" t="s">
        <v>1638</v>
      </c>
      <c r="D124" s="31">
        <f>E124+F124+G124+H124+I124+J124+L124+N124+P124+R124+T124+U124+V124+W124+X124+Y124+Z124+AA124+AB124+AC124+AD124+AE124</f>
        <v>3757465.78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3">
        <v>0</v>
      </c>
      <c r="L124" s="31">
        <v>0</v>
      </c>
      <c r="M124" s="31">
        <v>1057</v>
      </c>
      <c r="N124" s="31">
        <v>3701936.73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f>ROUND(N124*1.5%,2)</f>
        <v>55529.05</v>
      </c>
      <c r="AD124" s="31">
        <v>0</v>
      </c>
      <c r="AE124" s="31">
        <v>0</v>
      </c>
      <c r="AF124" s="34" t="s">
        <v>274</v>
      </c>
      <c r="AG124" s="34">
        <v>2020</v>
      </c>
      <c r="AH124" s="35">
        <v>2020</v>
      </c>
    </row>
    <row r="125" spans="1:34" ht="61.5" x14ac:dyDescent="0.85">
      <c r="A125" s="20">
        <v>1</v>
      </c>
      <c r="B125" s="66">
        <f>SUBTOTAL(103,$A$22:A125)</f>
        <v>104</v>
      </c>
      <c r="C125" s="24" t="s">
        <v>1628</v>
      </c>
      <c r="D125" s="31">
        <f t="shared" si="15"/>
        <v>752864.38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3">
        <v>0</v>
      </c>
      <c r="L125" s="31">
        <v>0</v>
      </c>
      <c r="M125" s="31">
        <v>336</v>
      </c>
      <c r="N125" s="31">
        <v>741793.12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f>ROUND(N125*1.4925%,2)</f>
        <v>11071.26</v>
      </c>
      <c r="AD125" s="31">
        <v>0</v>
      </c>
      <c r="AE125" s="31">
        <v>0</v>
      </c>
      <c r="AF125" s="34" t="s">
        <v>274</v>
      </c>
      <c r="AG125" s="34">
        <v>2020</v>
      </c>
      <c r="AH125" s="35">
        <v>2020</v>
      </c>
    </row>
    <row r="126" spans="1:34" ht="61.5" x14ac:dyDescent="0.85">
      <c r="A126" s="20">
        <v>1</v>
      </c>
      <c r="B126" s="66">
        <f>SUBTOTAL(103,$A$22:A126)</f>
        <v>105</v>
      </c>
      <c r="C126" s="24" t="s">
        <v>1640</v>
      </c>
      <c r="D126" s="31">
        <f>E126+F126+G126+H126+I126+J126+L126+N126+P126+R126+T126+U126+V126+W126+X126+Y126+Z126+AA126+AB126+AC126+AD126+AE126</f>
        <v>5103753.3499999996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3">
        <v>0</v>
      </c>
      <c r="L126" s="31">
        <v>0</v>
      </c>
      <c r="M126" s="31">
        <v>1500</v>
      </c>
      <c r="N126" s="31">
        <v>5028700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f>ROUND(N126*1.4925%,2)</f>
        <v>75053.350000000006</v>
      </c>
      <c r="AD126" s="31">
        <v>0</v>
      </c>
      <c r="AE126" s="31">
        <v>0</v>
      </c>
      <c r="AF126" s="34" t="s">
        <v>274</v>
      </c>
      <c r="AG126" s="34">
        <v>2020</v>
      </c>
      <c r="AH126" s="35">
        <v>2020</v>
      </c>
    </row>
    <row r="127" spans="1:34" ht="61.5" x14ac:dyDescent="0.85">
      <c r="A127" s="20">
        <v>1</v>
      </c>
      <c r="B127" s="66">
        <f>SUBTOTAL(103,$A$22:A127)</f>
        <v>106</v>
      </c>
      <c r="C127" s="24" t="s">
        <v>1641</v>
      </c>
      <c r="D127" s="31">
        <f>E127+F127+G127+H127+I127+J127+L127+N127+P127+R127+T127+U127+V127+W127+X127+Y127+Z127+AA127+AB127+AC127+AD127+AE127</f>
        <v>6436486.0999999996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3">
        <v>0</v>
      </c>
      <c r="L127" s="31">
        <v>0</v>
      </c>
      <c r="M127" s="31">
        <v>1928</v>
      </c>
      <c r="N127" s="31">
        <f>6341834.22-108382.39</f>
        <v>6233451.8300000001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f>ROUND(N127*1.4925%,2)</f>
        <v>93034.27</v>
      </c>
      <c r="AD127" s="31">
        <v>110000</v>
      </c>
      <c r="AE127" s="31">
        <v>0</v>
      </c>
      <c r="AF127" s="34">
        <v>2020</v>
      </c>
      <c r="AG127" s="34">
        <v>2020</v>
      </c>
      <c r="AH127" s="35">
        <v>2020</v>
      </c>
    </row>
    <row r="128" spans="1:34" ht="61.5" x14ac:dyDescent="0.85">
      <c r="A128" s="20">
        <v>1</v>
      </c>
      <c r="B128" s="66">
        <f>SUBTOTAL(103,$A$22:A128)</f>
        <v>107</v>
      </c>
      <c r="C128" s="24" t="s">
        <v>1629</v>
      </c>
      <c r="D128" s="31">
        <f t="shared" si="15"/>
        <v>2093149.6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3">
        <v>0</v>
      </c>
      <c r="L128" s="31">
        <v>0</v>
      </c>
      <c r="M128" s="31">
        <v>385</v>
      </c>
      <c r="N128" s="31">
        <v>2093149.6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v>0</v>
      </c>
      <c r="AF128" s="34" t="s">
        <v>274</v>
      </c>
      <c r="AG128" s="34">
        <v>2020</v>
      </c>
      <c r="AH128" s="35" t="s">
        <v>274</v>
      </c>
    </row>
    <row r="129" spans="1:80" ht="61.5" x14ac:dyDescent="0.85">
      <c r="A129" s="20">
        <v>1</v>
      </c>
      <c r="B129" s="66">
        <f>SUBTOTAL(103,$A$22:A129)</f>
        <v>108</v>
      </c>
      <c r="C129" s="24" t="s">
        <v>1684</v>
      </c>
      <c r="D129" s="31">
        <f t="shared" si="15"/>
        <v>2383835.1199999996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3">
        <v>0</v>
      </c>
      <c r="L129" s="31">
        <v>0</v>
      </c>
      <c r="M129" s="31">
        <v>356</v>
      </c>
      <c r="N129" s="31">
        <v>2269788.2999999998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34046.82</v>
      </c>
      <c r="AD129" s="31">
        <v>80000</v>
      </c>
      <c r="AE129" s="31">
        <v>0</v>
      </c>
      <c r="AF129" s="34">
        <v>2020</v>
      </c>
      <c r="AG129" s="34">
        <v>2020</v>
      </c>
      <c r="AH129" s="35">
        <v>2020</v>
      </c>
    </row>
    <row r="130" spans="1:80" ht="61.5" x14ac:dyDescent="0.85">
      <c r="A130" s="20">
        <v>1</v>
      </c>
      <c r="B130" s="66">
        <f>SUBTOTAL(103,$A$22:A130)</f>
        <v>109</v>
      </c>
      <c r="C130" s="24" t="s">
        <v>1685</v>
      </c>
      <c r="D130" s="31">
        <f t="shared" si="15"/>
        <v>2292500.0499999998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3">
        <v>0</v>
      </c>
      <c r="L130" s="31">
        <v>0</v>
      </c>
      <c r="M130" s="31">
        <v>0</v>
      </c>
      <c r="N130" s="31">
        <v>0</v>
      </c>
      <c r="O130" s="31">
        <v>0</v>
      </c>
      <c r="P130" s="31">
        <v>0</v>
      </c>
      <c r="Q130" s="31">
        <v>840</v>
      </c>
      <c r="R130" s="31">
        <v>2179803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32697.05</v>
      </c>
      <c r="AD130" s="31">
        <v>80000</v>
      </c>
      <c r="AE130" s="31">
        <v>0</v>
      </c>
      <c r="AF130" s="34">
        <v>2020</v>
      </c>
      <c r="AG130" s="34">
        <v>2020</v>
      </c>
      <c r="AH130" s="35">
        <v>2020</v>
      </c>
    </row>
    <row r="131" spans="1:80" ht="61.5" x14ac:dyDescent="0.85">
      <c r="A131" s="20">
        <v>1</v>
      </c>
      <c r="B131" s="66">
        <f>SUBTOTAL(103,$A$22:A131)</f>
        <v>110</v>
      </c>
      <c r="C131" s="24" t="s">
        <v>1686</v>
      </c>
      <c r="D131" s="31">
        <f t="shared" si="15"/>
        <v>4642675.7399999993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3">
        <v>0</v>
      </c>
      <c r="L131" s="31">
        <v>0</v>
      </c>
      <c r="M131" s="31">
        <v>1119</v>
      </c>
      <c r="N131" s="31">
        <v>4475542.5999999996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v>67133.14</v>
      </c>
      <c r="AD131" s="31">
        <v>100000</v>
      </c>
      <c r="AE131" s="31">
        <v>0</v>
      </c>
      <c r="AF131" s="34">
        <v>2020</v>
      </c>
      <c r="AG131" s="34">
        <v>2020</v>
      </c>
      <c r="AH131" s="35">
        <v>2020</v>
      </c>
    </row>
    <row r="132" spans="1:80" ht="61.5" x14ac:dyDescent="0.85">
      <c r="A132" s="20">
        <v>1</v>
      </c>
      <c r="B132" s="66">
        <f>SUBTOTAL(103,$A$22:A132)</f>
        <v>111</v>
      </c>
      <c r="C132" s="24" t="s">
        <v>1687</v>
      </c>
      <c r="D132" s="31">
        <f t="shared" si="15"/>
        <v>3552500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3">
        <v>0</v>
      </c>
      <c r="L132" s="31">
        <v>0</v>
      </c>
      <c r="M132" s="31">
        <v>0</v>
      </c>
      <c r="N132" s="31">
        <v>0</v>
      </c>
      <c r="O132" s="31">
        <v>0</v>
      </c>
      <c r="P132" s="31">
        <v>0</v>
      </c>
      <c r="Q132" s="31">
        <v>975.92</v>
      </c>
      <c r="R132" s="31">
        <v>3500000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52500</v>
      </c>
      <c r="AD132" s="31">
        <v>0</v>
      </c>
      <c r="AE132" s="31">
        <v>0</v>
      </c>
      <c r="AF132" s="34" t="s">
        <v>274</v>
      </c>
      <c r="AG132" s="34">
        <v>2020</v>
      </c>
      <c r="AH132" s="35">
        <v>2020</v>
      </c>
    </row>
    <row r="133" spans="1:80" ht="61.5" x14ac:dyDescent="0.85">
      <c r="A133" s="20">
        <v>1</v>
      </c>
      <c r="B133" s="66">
        <f>SUBTOTAL(103,$A$22:A133)</f>
        <v>112</v>
      </c>
      <c r="C133" s="24" t="s">
        <v>1688</v>
      </c>
      <c r="D133" s="31">
        <f t="shared" si="15"/>
        <v>3080999.9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3">
        <v>0</v>
      </c>
      <c r="L133" s="31">
        <v>0</v>
      </c>
      <c r="M133" s="31">
        <v>707</v>
      </c>
      <c r="N133" s="31">
        <v>2956650.15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44349.75</v>
      </c>
      <c r="AD133" s="31">
        <v>80000</v>
      </c>
      <c r="AE133" s="31">
        <v>0</v>
      </c>
      <c r="AF133" s="34">
        <v>2020</v>
      </c>
      <c r="AG133" s="34">
        <v>2020</v>
      </c>
      <c r="AH133" s="35">
        <v>2020</v>
      </c>
    </row>
    <row r="134" spans="1:80" ht="61.5" x14ac:dyDescent="0.85">
      <c r="A134" s="20">
        <v>1</v>
      </c>
      <c r="B134" s="66">
        <f>SUBTOTAL(103,$A$22:A134)</f>
        <v>113</v>
      </c>
      <c r="C134" s="24" t="s">
        <v>1689</v>
      </c>
      <c r="D134" s="31">
        <f t="shared" si="15"/>
        <v>3180464.5600000005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3">
        <v>0</v>
      </c>
      <c r="L134" s="31">
        <v>0</v>
      </c>
      <c r="M134" s="31">
        <v>0</v>
      </c>
      <c r="N134" s="31">
        <v>0</v>
      </c>
      <c r="O134" s="31">
        <v>0</v>
      </c>
      <c r="P134" s="31">
        <v>0</v>
      </c>
      <c r="Q134" s="31">
        <v>641</v>
      </c>
      <c r="R134" s="31">
        <v>3054645.18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45819.68</v>
      </c>
      <c r="AD134" s="31">
        <f>80000-0.3</f>
        <v>79999.7</v>
      </c>
      <c r="AE134" s="31">
        <v>0</v>
      </c>
      <c r="AF134" s="34">
        <v>2020</v>
      </c>
      <c r="AG134" s="34">
        <v>2020</v>
      </c>
      <c r="AH134" s="35">
        <v>2020</v>
      </c>
    </row>
    <row r="135" spans="1:80" ht="61.5" x14ac:dyDescent="0.85">
      <c r="B135" s="24" t="s">
        <v>799</v>
      </c>
      <c r="C135" s="117"/>
      <c r="D135" s="31">
        <f>SUM(D136:D167)</f>
        <v>95682574.419999987</v>
      </c>
      <c r="E135" s="31">
        <f t="shared" ref="E135:AE135" si="17">SUM(E136:E167)</f>
        <v>486686.75</v>
      </c>
      <c r="F135" s="31">
        <f t="shared" si="17"/>
        <v>347232.06</v>
      </c>
      <c r="G135" s="31">
        <f t="shared" si="17"/>
        <v>8461487.4000000004</v>
      </c>
      <c r="H135" s="31">
        <f t="shared" si="17"/>
        <v>1113347.96</v>
      </c>
      <c r="I135" s="31">
        <f t="shared" si="17"/>
        <v>9097546.0899999999</v>
      </c>
      <c r="J135" s="31">
        <f t="shared" si="17"/>
        <v>0</v>
      </c>
      <c r="K135" s="33">
        <f t="shared" si="17"/>
        <v>4</v>
      </c>
      <c r="L135" s="31">
        <f t="shared" si="17"/>
        <v>7871837.8899999997</v>
      </c>
      <c r="M135" s="31">
        <f t="shared" si="17"/>
        <v>9366.7099999999991</v>
      </c>
      <c r="N135" s="31">
        <f t="shared" si="17"/>
        <v>47554619.289999999</v>
      </c>
      <c r="O135" s="31">
        <f t="shared" si="17"/>
        <v>0</v>
      </c>
      <c r="P135" s="31">
        <f t="shared" si="17"/>
        <v>0</v>
      </c>
      <c r="Q135" s="31">
        <f t="shared" si="17"/>
        <v>5678.53</v>
      </c>
      <c r="R135" s="31">
        <f t="shared" si="17"/>
        <v>17879016.07</v>
      </c>
      <c r="S135" s="31">
        <f t="shared" si="17"/>
        <v>0</v>
      </c>
      <c r="T135" s="31">
        <f t="shared" si="17"/>
        <v>0</v>
      </c>
      <c r="U135" s="31">
        <f t="shared" si="17"/>
        <v>0</v>
      </c>
      <c r="V135" s="31">
        <f t="shared" si="17"/>
        <v>0</v>
      </c>
      <c r="W135" s="31">
        <f t="shared" si="17"/>
        <v>0</v>
      </c>
      <c r="X135" s="31">
        <f t="shared" si="17"/>
        <v>0</v>
      </c>
      <c r="Y135" s="31">
        <f t="shared" si="17"/>
        <v>0</v>
      </c>
      <c r="Z135" s="31">
        <f t="shared" si="17"/>
        <v>0</v>
      </c>
      <c r="AA135" s="31">
        <f t="shared" si="17"/>
        <v>0</v>
      </c>
      <c r="AB135" s="31">
        <f t="shared" si="17"/>
        <v>0</v>
      </c>
      <c r="AC135" s="31">
        <f t="shared" si="17"/>
        <v>1274099.05</v>
      </c>
      <c r="AD135" s="31">
        <f t="shared" si="17"/>
        <v>1476701.86</v>
      </c>
      <c r="AE135" s="31">
        <f t="shared" si="17"/>
        <v>120000</v>
      </c>
      <c r="AF135" s="72" t="s">
        <v>794</v>
      </c>
      <c r="AG135" s="72" t="s">
        <v>794</v>
      </c>
      <c r="AH135" s="91" t="s">
        <v>794</v>
      </c>
      <c r="AT135" s="20" t="e">
        <f t="shared" ref="AT135:AT148" si="18">VLOOKUP(C135,AW:AX,2,FALSE)</f>
        <v>#N/A</v>
      </c>
      <c r="BZ135" s="31">
        <v>103450160.67999998</v>
      </c>
      <c r="CA135" s="31"/>
      <c r="CB135" s="31">
        <f>BZ135-D135</f>
        <v>7767586.2599999905</v>
      </c>
    </row>
    <row r="136" spans="1:80" ht="61.5" x14ac:dyDescent="0.85">
      <c r="A136" s="20">
        <v>1</v>
      </c>
      <c r="B136" s="66">
        <f>SUBTOTAL(103,$A$22:A136)</f>
        <v>114</v>
      </c>
      <c r="C136" s="24" t="s">
        <v>460</v>
      </c>
      <c r="D136" s="31">
        <f t="shared" ref="D136:D167" si="19">E136+F136+G136+H136+I136+J136+L136+N136+P136+R136+T136+U136+V136+W136+X136+Y136+Z136+AA136+AB136+AC136+AD136+AE136</f>
        <v>3009959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3">
        <v>0</v>
      </c>
      <c r="L136" s="31">
        <v>0</v>
      </c>
      <c r="M136" s="31">
        <v>563</v>
      </c>
      <c r="N136" s="31">
        <v>2924188.81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f t="shared" ref="AC136:AC147" si="20">ROUND(N136*1.5%,2)</f>
        <v>43862.83</v>
      </c>
      <c r="AD136" s="31">
        <v>41907.360000000001</v>
      </c>
      <c r="AE136" s="31">
        <v>0</v>
      </c>
      <c r="AF136" s="34">
        <v>2020</v>
      </c>
      <c r="AG136" s="34">
        <v>2020</v>
      </c>
      <c r="AH136" s="35">
        <v>2020</v>
      </c>
      <c r="AT136" s="20" t="e">
        <f t="shared" si="18"/>
        <v>#N/A</v>
      </c>
    </row>
    <row r="137" spans="1:80" ht="61.5" x14ac:dyDescent="0.85">
      <c r="A137" s="20">
        <v>1</v>
      </c>
      <c r="B137" s="66">
        <f>SUBTOTAL(103,$A$22:A137)</f>
        <v>115</v>
      </c>
      <c r="C137" s="24" t="s">
        <v>461</v>
      </c>
      <c r="D137" s="31">
        <f t="shared" si="19"/>
        <v>3455441.67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3">
        <v>0</v>
      </c>
      <c r="L137" s="31">
        <v>0</v>
      </c>
      <c r="M137" s="31">
        <v>639.35</v>
      </c>
      <c r="N137" s="31">
        <v>3340787.51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f t="shared" si="20"/>
        <v>50111.81</v>
      </c>
      <c r="AD137" s="31">
        <v>64542.35</v>
      </c>
      <c r="AE137" s="31">
        <v>0</v>
      </c>
      <c r="AF137" s="34">
        <v>2020</v>
      </c>
      <c r="AG137" s="34">
        <v>2020</v>
      </c>
      <c r="AH137" s="35">
        <v>2020</v>
      </c>
      <c r="AT137" s="20" t="e">
        <f t="shared" si="18"/>
        <v>#N/A</v>
      </c>
    </row>
    <row r="138" spans="1:80" ht="61.5" x14ac:dyDescent="0.85">
      <c r="A138" s="20">
        <v>1</v>
      </c>
      <c r="B138" s="66">
        <f>SUBTOTAL(103,$A$22:A138)</f>
        <v>116</v>
      </c>
      <c r="C138" s="24" t="s">
        <v>462</v>
      </c>
      <c r="D138" s="31">
        <f t="shared" si="19"/>
        <v>59874.84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3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f t="shared" si="20"/>
        <v>0</v>
      </c>
      <c r="AD138" s="31">
        <v>59874.84</v>
      </c>
      <c r="AE138" s="31">
        <v>0</v>
      </c>
      <c r="AF138" s="34">
        <v>2020</v>
      </c>
      <c r="AG138" s="34" t="s">
        <v>274</v>
      </c>
      <c r="AH138" s="35" t="s">
        <v>274</v>
      </c>
      <c r="AT138" s="20" t="e">
        <f t="shared" si="18"/>
        <v>#N/A</v>
      </c>
    </row>
    <row r="139" spans="1:80" ht="61.5" x14ac:dyDescent="0.85">
      <c r="A139" s="20">
        <v>1</v>
      </c>
      <c r="B139" s="66">
        <f>SUBTOTAL(103,$A$22:A139)</f>
        <v>117</v>
      </c>
      <c r="C139" s="24" t="s">
        <v>463</v>
      </c>
      <c r="D139" s="31">
        <f t="shared" si="19"/>
        <v>66096.710000000006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3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f t="shared" si="20"/>
        <v>0</v>
      </c>
      <c r="AD139" s="31">
        <v>66096.710000000006</v>
      </c>
      <c r="AE139" s="31">
        <v>0</v>
      </c>
      <c r="AF139" s="34">
        <v>2020</v>
      </c>
      <c r="AG139" s="34" t="s">
        <v>274</v>
      </c>
      <c r="AH139" s="35" t="s">
        <v>274</v>
      </c>
      <c r="AT139" s="20" t="e">
        <f t="shared" si="18"/>
        <v>#N/A</v>
      </c>
    </row>
    <row r="140" spans="1:80" ht="61.5" x14ac:dyDescent="0.85">
      <c r="A140" s="20">
        <v>1</v>
      </c>
      <c r="B140" s="66">
        <f>SUBTOTAL(103,$A$22:A140)</f>
        <v>118</v>
      </c>
      <c r="C140" s="24" t="s">
        <v>464</v>
      </c>
      <c r="D140" s="31">
        <f t="shared" si="19"/>
        <v>3318686.16</v>
      </c>
      <c r="E140" s="31">
        <v>0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3">
        <v>0</v>
      </c>
      <c r="L140" s="31">
        <v>0</v>
      </c>
      <c r="M140" s="31">
        <v>614.96</v>
      </c>
      <c r="N140" s="31">
        <v>3207707.84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f t="shared" si="20"/>
        <v>48115.62</v>
      </c>
      <c r="AD140" s="31">
        <v>62862.7</v>
      </c>
      <c r="AE140" s="31">
        <v>0</v>
      </c>
      <c r="AF140" s="34">
        <v>2020</v>
      </c>
      <c r="AG140" s="34">
        <v>2020</v>
      </c>
      <c r="AH140" s="35">
        <v>2020</v>
      </c>
      <c r="AT140" s="20" t="e">
        <f t="shared" si="18"/>
        <v>#N/A</v>
      </c>
    </row>
    <row r="141" spans="1:80" ht="61.5" x14ac:dyDescent="0.85">
      <c r="A141" s="20">
        <v>1</v>
      </c>
      <c r="B141" s="66">
        <f>SUBTOTAL(103,$A$22:A141)</f>
        <v>119</v>
      </c>
      <c r="C141" s="24" t="s">
        <v>465</v>
      </c>
      <c r="D141" s="31">
        <f t="shared" si="19"/>
        <v>3184842.96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3">
        <v>0</v>
      </c>
      <c r="L141" s="31">
        <v>0</v>
      </c>
      <c r="M141" s="31">
        <v>590.6</v>
      </c>
      <c r="N141" s="31">
        <v>3074786.37</v>
      </c>
      <c r="O141" s="31">
        <v>0</v>
      </c>
      <c r="P141" s="31">
        <v>0</v>
      </c>
      <c r="Q141" s="31">
        <v>0</v>
      </c>
      <c r="R141" s="31">
        <v>0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f t="shared" si="20"/>
        <v>46121.8</v>
      </c>
      <c r="AD141" s="31">
        <v>63934.79</v>
      </c>
      <c r="AE141" s="31">
        <v>0</v>
      </c>
      <c r="AF141" s="34">
        <v>2020</v>
      </c>
      <c r="AG141" s="34">
        <v>2020</v>
      </c>
      <c r="AH141" s="35">
        <v>2020</v>
      </c>
      <c r="AT141" s="20" t="e">
        <f t="shared" si="18"/>
        <v>#N/A</v>
      </c>
    </row>
    <row r="142" spans="1:80" ht="61.5" x14ac:dyDescent="0.85">
      <c r="A142" s="20">
        <v>1</v>
      </c>
      <c r="B142" s="66">
        <f>SUBTOTAL(103,$A$22:A142)</f>
        <v>120</v>
      </c>
      <c r="C142" s="24" t="s">
        <v>466</v>
      </c>
      <c r="D142" s="31">
        <f t="shared" si="19"/>
        <v>3254641.7199999997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3">
        <v>0</v>
      </c>
      <c r="L142" s="31">
        <v>0</v>
      </c>
      <c r="M142" s="31">
        <v>570</v>
      </c>
      <c r="N142" s="31">
        <v>3123050.84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f t="shared" si="20"/>
        <v>46845.760000000002</v>
      </c>
      <c r="AD142" s="31">
        <v>84745.12</v>
      </c>
      <c r="AE142" s="31">
        <v>0</v>
      </c>
      <c r="AF142" s="34">
        <v>2020</v>
      </c>
      <c r="AG142" s="34">
        <v>2020</v>
      </c>
      <c r="AH142" s="35">
        <v>2020</v>
      </c>
      <c r="AT142" s="20" t="e">
        <f t="shared" si="18"/>
        <v>#N/A</v>
      </c>
    </row>
    <row r="143" spans="1:80" ht="61.5" x14ac:dyDescent="0.85">
      <c r="A143" s="20">
        <v>1</v>
      </c>
      <c r="B143" s="66">
        <f>SUBTOTAL(103,$A$22:A143)</f>
        <v>121</v>
      </c>
      <c r="C143" s="24" t="s">
        <v>467</v>
      </c>
      <c r="D143" s="31">
        <f t="shared" si="19"/>
        <v>4028772.94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3">
        <v>0</v>
      </c>
      <c r="L143" s="31">
        <v>0</v>
      </c>
      <c r="M143" s="31">
        <v>743</v>
      </c>
      <c r="N143" s="31">
        <v>3906346.84</v>
      </c>
      <c r="O143" s="31">
        <v>0</v>
      </c>
      <c r="P143" s="31">
        <v>0</v>
      </c>
      <c r="Q143" s="31">
        <v>0</v>
      </c>
      <c r="R143" s="31">
        <v>0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f t="shared" si="20"/>
        <v>58595.199999999997</v>
      </c>
      <c r="AD143" s="31">
        <v>63830.9</v>
      </c>
      <c r="AE143" s="31">
        <v>0</v>
      </c>
      <c r="AF143" s="34">
        <v>2020</v>
      </c>
      <c r="AG143" s="34">
        <v>2020</v>
      </c>
      <c r="AH143" s="35">
        <v>2020</v>
      </c>
      <c r="AT143" s="20" t="e">
        <f t="shared" si="18"/>
        <v>#N/A</v>
      </c>
    </row>
    <row r="144" spans="1:80" ht="61.5" x14ac:dyDescent="0.85">
      <c r="A144" s="20">
        <v>1</v>
      </c>
      <c r="B144" s="66">
        <f>SUBTOTAL(103,$A$22:A144)</f>
        <v>122</v>
      </c>
      <c r="C144" s="24" t="s">
        <v>468</v>
      </c>
      <c r="D144" s="31">
        <f t="shared" si="19"/>
        <v>2469426.2299999995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3">
        <v>0</v>
      </c>
      <c r="L144" s="31">
        <v>0</v>
      </c>
      <c r="M144" s="31">
        <v>456</v>
      </c>
      <c r="N144" s="31">
        <v>2369907.0699999998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f t="shared" si="20"/>
        <v>35548.61</v>
      </c>
      <c r="AD144" s="31">
        <v>63970.55</v>
      </c>
      <c r="AE144" s="31">
        <v>0</v>
      </c>
      <c r="AF144" s="34">
        <v>2020</v>
      </c>
      <c r="AG144" s="34">
        <v>2020</v>
      </c>
      <c r="AH144" s="35">
        <v>2020</v>
      </c>
      <c r="AT144" s="20" t="e">
        <f t="shared" si="18"/>
        <v>#N/A</v>
      </c>
    </row>
    <row r="145" spans="1:46" ht="61.5" x14ac:dyDescent="0.85">
      <c r="A145" s="20">
        <v>1</v>
      </c>
      <c r="B145" s="66">
        <f>SUBTOTAL(103,$A$22:A145)</f>
        <v>123</v>
      </c>
      <c r="C145" s="24" t="s">
        <v>469</v>
      </c>
      <c r="D145" s="31">
        <f t="shared" si="19"/>
        <v>4857461.72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3">
        <v>0</v>
      </c>
      <c r="L145" s="31">
        <v>0</v>
      </c>
      <c r="M145" s="31">
        <v>835</v>
      </c>
      <c r="N145" s="31">
        <v>4643701.7699999996</v>
      </c>
      <c r="O145" s="31">
        <v>0</v>
      </c>
      <c r="P145" s="31">
        <v>0</v>
      </c>
      <c r="Q145" s="31">
        <v>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f t="shared" si="20"/>
        <v>69655.53</v>
      </c>
      <c r="AD145" s="31">
        <v>144104.42000000001</v>
      </c>
      <c r="AE145" s="31">
        <v>0</v>
      </c>
      <c r="AF145" s="34">
        <v>2020</v>
      </c>
      <c r="AG145" s="34">
        <v>2020</v>
      </c>
      <c r="AH145" s="35">
        <v>2020</v>
      </c>
      <c r="AT145" s="20" t="e">
        <f t="shared" si="18"/>
        <v>#N/A</v>
      </c>
    </row>
    <row r="146" spans="1:46" ht="61.5" x14ac:dyDescent="0.85">
      <c r="A146" s="20">
        <v>1</v>
      </c>
      <c r="B146" s="66">
        <f>SUBTOTAL(103,$A$22:A146)</f>
        <v>124</v>
      </c>
      <c r="C146" s="24" t="s">
        <v>470</v>
      </c>
      <c r="D146" s="31">
        <f t="shared" si="19"/>
        <v>2469776.42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3">
        <v>0</v>
      </c>
      <c r="L146" s="31">
        <v>0</v>
      </c>
      <c r="M146" s="31">
        <v>456</v>
      </c>
      <c r="N146" s="31">
        <v>2369907.0699999998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f t="shared" si="20"/>
        <v>35548.61</v>
      </c>
      <c r="AD146" s="31">
        <v>64320.74</v>
      </c>
      <c r="AE146" s="31">
        <v>0</v>
      </c>
      <c r="AF146" s="34">
        <v>2020</v>
      </c>
      <c r="AG146" s="34">
        <v>2020</v>
      </c>
      <c r="AH146" s="35">
        <v>2020</v>
      </c>
      <c r="AT146" s="20" t="e">
        <f t="shared" si="18"/>
        <v>#N/A</v>
      </c>
    </row>
    <row r="147" spans="1:46" ht="61.5" x14ac:dyDescent="0.85">
      <c r="A147" s="20">
        <v>1</v>
      </c>
      <c r="B147" s="66">
        <f>SUBTOTAL(103,$A$22:A147)</f>
        <v>125</v>
      </c>
      <c r="C147" s="24" t="s">
        <v>471</v>
      </c>
      <c r="D147" s="31">
        <f t="shared" si="19"/>
        <v>4516946.4800000004</v>
      </c>
      <c r="E147" s="31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3">
        <v>0</v>
      </c>
      <c r="L147" s="31">
        <v>0</v>
      </c>
      <c r="M147" s="31">
        <v>898</v>
      </c>
      <c r="N147" s="31">
        <v>4341703.6100000003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f t="shared" si="20"/>
        <v>65125.55</v>
      </c>
      <c r="AD147" s="31">
        <v>110117.32</v>
      </c>
      <c r="AE147" s="31">
        <v>0</v>
      </c>
      <c r="AF147" s="34">
        <v>2020</v>
      </c>
      <c r="AG147" s="34">
        <v>2020</v>
      </c>
      <c r="AH147" s="35">
        <v>2020</v>
      </c>
      <c r="AT147" s="20" t="e">
        <f t="shared" si="18"/>
        <v>#N/A</v>
      </c>
    </row>
    <row r="148" spans="1:46" ht="61.5" x14ac:dyDescent="0.85">
      <c r="A148" s="20">
        <v>1</v>
      </c>
      <c r="B148" s="66">
        <f>SUBTOTAL(103,$A$22:A148)</f>
        <v>126</v>
      </c>
      <c r="C148" s="24" t="s">
        <v>472</v>
      </c>
      <c r="D148" s="31">
        <f t="shared" si="19"/>
        <v>1777787.8900000001</v>
      </c>
      <c r="E148" s="31">
        <v>0</v>
      </c>
      <c r="F148" s="31">
        <v>0</v>
      </c>
      <c r="G148" s="31">
        <v>0</v>
      </c>
      <c r="H148" s="31">
        <v>0</v>
      </c>
      <c r="I148" s="31">
        <v>0</v>
      </c>
      <c r="J148" s="31">
        <v>0</v>
      </c>
      <c r="K148" s="33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475</v>
      </c>
      <c r="R148" s="31">
        <v>1623436.34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f>ROUND(R148*1.5%,2)</f>
        <v>24351.55</v>
      </c>
      <c r="AD148" s="31">
        <v>130000</v>
      </c>
      <c r="AE148" s="31">
        <v>0</v>
      </c>
      <c r="AF148" s="34">
        <v>2020</v>
      </c>
      <c r="AG148" s="34">
        <v>2020</v>
      </c>
      <c r="AH148" s="35">
        <v>2020</v>
      </c>
      <c r="AT148" s="20" t="e">
        <f t="shared" si="18"/>
        <v>#N/A</v>
      </c>
    </row>
    <row r="149" spans="1:46" ht="61.5" x14ac:dyDescent="0.85">
      <c r="A149" s="20">
        <v>1</v>
      </c>
      <c r="B149" s="66">
        <f>SUBTOTAL(103,$A$22:A149)</f>
        <v>127</v>
      </c>
      <c r="C149" s="24" t="s">
        <v>1205</v>
      </c>
      <c r="D149" s="31">
        <f t="shared" si="19"/>
        <v>3729888.9499999997</v>
      </c>
      <c r="E149" s="31">
        <v>0</v>
      </c>
      <c r="F149" s="31">
        <v>0</v>
      </c>
      <c r="G149" s="31">
        <v>1730473.3699999999</v>
      </c>
      <c r="H149" s="31">
        <v>0</v>
      </c>
      <c r="I149" s="31">
        <v>1944294.07</v>
      </c>
      <c r="J149" s="31">
        <v>0</v>
      </c>
      <c r="K149" s="33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f t="shared" ref="AC149:AC150" si="21">ROUND((E149+F149+G149+H149+I149+J149)*1.5%,2)</f>
        <v>55121.51</v>
      </c>
      <c r="AD149" s="31">
        <v>0</v>
      </c>
      <c r="AE149" s="31">
        <v>0</v>
      </c>
      <c r="AF149" s="34" t="s">
        <v>274</v>
      </c>
      <c r="AG149" s="34">
        <v>2020</v>
      </c>
      <c r="AH149" s="35">
        <v>2020</v>
      </c>
    </row>
    <row r="150" spans="1:46" ht="61.5" x14ac:dyDescent="0.85">
      <c r="A150" s="20">
        <v>1</v>
      </c>
      <c r="B150" s="66">
        <f>SUBTOTAL(103,$A$22:A150)</f>
        <v>128</v>
      </c>
      <c r="C150" s="24" t="s">
        <v>1206</v>
      </c>
      <c r="D150" s="31">
        <f t="shared" si="19"/>
        <v>4191599.92</v>
      </c>
      <c r="E150" s="31">
        <v>0</v>
      </c>
      <c r="F150" s="31">
        <v>0</v>
      </c>
      <c r="G150" s="31">
        <v>1899196.59</v>
      </c>
      <c r="H150" s="31">
        <v>0</v>
      </c>
      <c r="I150" s="31">
        <v>2230458.5</v>
      </c>
      <c r="J150" s="31">
        <v>0</v>
      </c>
      <c r="K150" s="33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f t="shared" si="21"/>
        <v>61944.83</v>
      </c>
      <c r="AD150" s="31">
        <v>0</v>
      </c>
      <c r="AE150" s="31">
        <v>0</v>
      </c>
      <c r="AF150" s="34" t="s">
        <v>274</v>
      </c>
      <c r="AG150" s="34">
        <v>2020</v>
      </c>
      <c r="AH150" s="35">
        <v>2020</v>
      </c>
    </row>
    <row r="151" spans="1:46" ht="61.5" x14ac:dyDescent="0.85">
      <c r="A151" s="20">
        <v>1</v>
      </c>
      <c r="B151" s="66">
        <f>SUBTOTAL(103,$A$22:A151)</f>
        <v>129</v>
      </c>
      <c r="C151" s="24" t="s">
        <v>1207</v>
      </c>
      <c r="D151" s="31">
        <f t="shared" si="19"/>
        <v>1666784.6600000001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3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741.84</v>
      </c>
      <c r="R151" s="31">
        <v>1642152.37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f t="shared" ref="AC151:AC152" si="22">ROUND(R151*1.5%,2)</f>
        <v>24632.29</v>
      </c>
      <c r="AD151" s="31">
        <v>0</v>
      </c>
      <c r="AE151" s="31">
        <v>0</v>
      </c>
      <c r="AF151" s="34" t="s">
        <v>274</v>
      </c>
      <c r="AG151" s="34">
        <v>2020</v>
      </c>
      <c r="AH151" s="35">
        <v>2020</v>
      </c>
    </row>
    <row r="152" spans="1:46" ht="61.5" x14ac:dyDescent="0.85">
      <c r="A152" s="20">
        <v>1</v>
      </c>
      <c r="B152" s="66">
        <f>SUBTOTAL(103,$A$22:A152)</f>
        <v>130</v>
      </c>
      <c r="C152" s="24" t="s">
        <v>1208</v>
      </c>
      <c r="D152" s="31">
        <f t="shared" si="19"/>
        <v>2074334.5899999999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3">
        <v>0</v>
      </c>
      <c r="L152" s="31">
        <v>0</v>
      </c>
      <c r="M152" s="31">
        <v>0</v>
      </c>
      <c r="N152" s="31">
        <v>0</v>
      </c>
      <c r="O152" s="31">
        <v>0</v>
      </c>
      <c r="P152" s="31">
        <v>0</v>
      </c>
      <c r="Q152" s="31">
        <v>905.1</v>
      </c>
      <c r="R152" s="31">
        <v>2043679.4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f t="shared" si="22"/>
        <v>30655.19</v>
      </c>
      <c r="AD152" s="31">
        <v>0</v>
      </c>
      <c r="AE152" s="31">
        <v>0</v>
      </c>
      <c r="AF152" s="34" t="s">
        <v>274</v>
      </c>
      <c r="AG152" s="34">
        <v>2020</v>
      </c>
      <c r="AH152" s="35">
        <v>2020</v>
      </c>
    </row>
    <row r="153" spans="1:46" ht="61.5" x14ac:dyDescent="0.85">
      <c r="A153" s="20">
        <v>1</v>
      </c>
      <c r="B153" s="66">
        <f>SUBTOTAL(103,$A$22:A153)</f>
        <v>131</v>
      </c>
      <c r="C153" s="24" t="s">
        <v>1209</v>
      </c>
      <c r="D153" s="31">
        <f t="shared" si="19"/>
        <v>154761.32999999999</v>
      </c>
      <c r="E153" s="31">
        <v>0</v>
      </c>
      <c r="F153" s="31">
        <v>0</v>
      </c>
      <c r="G153" s="31">
        <v>0</v>
      </c>
      <c r="H153" s="31">
        <v>0</v>
      </c>
      <c r="I153" s="31">
        <v>152474.22</v>
      </c>
      <c r="J153" s="31">
        <v>0</v>
      </c>
      <c r="K153" s="33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f t="shared" ref="AC153" si="23">ROUND((E153+F153+G153+H153+I153+J153)*1.5%,2)</f>
        <v>2287.11</v>
      </c>
      <c r="AD153" s="31">
        <v>0</v>
      </c>
      <c r="AE153" s="31">
        <v>0</v>
      </c>
      <c r="AF153" s="34" t="s">
        <v>274</v>
      </c>
      <c r="AG153" s="34">
        <v>2020</v>
      </c>
      <c r="AH153" s="35">
        <v>2020</v>
      </c>
    </row>
    <row r="154" spans="1:46" ht="61.5" x14ac:dyDescent="0.85">
      <c r="A154" s="20">
        <v>1</v>
      </c>
      <c r="B154" s="66">
        <f>SUBTOTAL(103,$A$22:A154)</f>
        <v>132</v>
      </c>
      <c r="C154" s="24" t="s">
        <v>1210</v>
      </c>
      <c r="D154" s="31">
        <f t="shared" si="19"/>
        <v>1453072.52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3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490</v>
      </c>
      <c r="R154" s="31">
        <v>1431598.54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f t="shared" ref="AC154" si="24">ROUND(R154*1.5%,2)</f>
        <v>21473.98</v>
      </c>
      <c r="AD154" s="31">
        <v>0</v>
      </c>
      <c r="AE154" s="31">
        <v>0</v>
      </c>
      <c r="AF154" s="34" t="s">
        <v>274</v>
      </c>
      <c r="AG154" s="34">
        <v>2020</v>
      </c>
      <c r="AH154" s="35">
        <v>2020</v>
      </c>
    </row>
    <row r="155" spans="1:46" ht="61.5" x14ac:dyDescent="0.85">
      <c r="A155" s="20">
        <v>1</v>
      </c>
      <c r="B155" s="66">
        <f>SUBTOTAL(103,$A$22:A155)</f>
        <v>133</v>
      </c>
      <c r="C155" s="24" t="s">
        <v>1211</v>
      </c>
      <c r="D155" s="31">
        <f t="shared" si="19"/>
        <v>741685.94</v>
      </c>
      <c r="E155" s="31">
        <v>93824.95</v>
      </c>
      <c r="F155" s="31">
        <v>0</v>
      </c>
      <c r="G155" s="31">
        <v>324128.62</v>
      </c>
      <c r="H155" s="31">
        <v>134041.13</v>
      </c>
      <c r="I155" s="31">
        <v>178730.36</v>
      </c>
      <c r="J155" s="31">
        <v>0</v>
      </c>
      <c r="K155" s="33">
        <v>0</v>
      </c>
      <c r="L155" s="31">
        <v>0</v>
      </c>
      <c r="M155" s="31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f t="shared" ref="AC155" si="25">ROUND((E155+F155+G155+H155+I155+J155)*1.5%,2)</f>
        <v>10960.88</v>
      </c>
      <c r="AD155" s="31">
        <v>0</v>
      </c>
      <c r="AE155" s="31">
        <v>0</v>
      </c>
      <c r="AF155" s="34" t="s">
        <v>274</v>
      </c>
      <c r="AG155" s="34">
        <v>2020</v>
      </c>
      <c r="AH155" s="35">
        <v>2020</v>
      </c>
    </row>
    <row r="156" spans="1:46" ht="61.5" x14ac:dyDescent="0.85">
      <c r="A156" s="20">
        <v>1</v>
      </c>
      <c r="B156" s="66">
        <f>SUBTOTAL(103,$A$22:A156)</f>
        <v>134</v>
      </c>
      <c r="C156" s="24" t="s">
        <v>1212</v>
      </c>
      <c r="D156" s="31">
        <f t="shared" si="19"/>
        <v>2205149.9699999997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3">
        <v>0</v>
      </c>
      <c r="L156" s="31">
        <v>0</v>
      </c>
      <c r="M156" s="31">
        <v>0</v>
      </c>
      <c r="N156" s="31">
        <v>0</v>
      </c>
      <c r="O156" s="31">
        <v>0</v>
      </c>
      <c r="P156" s="31">
        <v>0</v>
      </c>
      <c r="Q156" s="31">
        <v>868.72</v>
      </c>
      <c r="R156" s="31">
        <v>2172561.5499999998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f t="shared" ref="AC156:AC158" si="26">ROUND(R156*1.5%,2)</f>
        <v>32588.42</v>
      </c>
      <c r="AD156" s="31">
        <v>0</v>
      </c>
      <c r="AE156" s="31">
        <v>0</v>
      </c>
      <c r="AF156" s="34" t="s">
        <v>274</v>
      </c>
      <c r="AG156" s="34">
        <v>2020</v>
      </c>
      <c r="AH156" s="35">
        <v>2020</v>
      </c>
    </row>
    <row r="157" spans="1:46" ht="61.5" x14ac:dyDescent="0.85">
      <c r="A157" s="20">
        <v>1</v>
      </c>
      <c r="B157" s="66">
        <f>SUBTOTAL(103,$A$22:A157)</f>
        <v>135</v>
      </c>
      <c r="C157" s="24" t="s">
        <v>1213</v>
      </c>
      <c r="D157" s="31">
        <f t="shared" si="19"/>
        <v>1508346.1500000001</v>
      </c>
      <c r="E157" s="31">
        <v>0</v>
      </c>
      <c r="F157" s="31">
        <v>0</v>
      </c>
      <c r="G157" s="31">
        <v>0</v>
      </c>
      <c r="H157" s="31">
        <v>0</v>
      </c>
      <c r="I157" s="31">
        <v>0</v>
      </c>
      <c r="J157" s="31">
        <v>0</v>
      </c>
      <c r="K157" s="33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573.12</v>
      </c>
      <c r="R157" s="31">
        <v>1486055.32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f t="shared" si="26"/>
        <v>22290.83</v>
      </c>
      <c r="AD157" s="31">
        <v>0</v>
      </c>
      <c r="AE157" s="31">
        <v>0</v>
      </c>
      <c r="AF157" s="34" t="s">
        <v>274</v>
      </c>
      <c r="AG157" s="34">
        <v>2020</v>
      </c>
      <c r="AH157" s="35">
        <v>2020</v>
      </c>
    </row>
    <row r="158" spans="1:46" ht="61.5" x14ac:dyDescent="0.85">
      <c r="A158" s="20">
        <v>1</v>
      </c>
      <c r="B158" s="66">
        <f>SUBTOTAL(103,$A$22:A158)</f>
        <v>136</v>
      </c>
      <c r="C158" s="24" t="s">
        <v>1214</v>
      </c>
      <c r="D158" s="31">
        <f t="shared" si="19"/>
        <v>1971369.43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3">
        <v>0</v>
      </c>
      <c r="L158" s="31">
        <v>0</v>
      </c>
      <c r="M158" s="31">
        <v>0</v>
      </c>
      <c r="N158" s="31">
        <v>0</v>
      </c>
      <c r="O158" s="31">
        <v>0</v>
      </c>
      <c r="P158" s="31">
        <v>0</v>
      </c>
      <c r="Q158" s="31">
        <v>397</v>
      </c>
      <c r="R158" s="31">
        <v>1824009.29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f t="shared" si="26"/>
        <v>27360.14</v>
      </c>
      <c r="AD158" s="31">
        <v>0</v>
      </c>
      <c r="AE158" s="31">
        <v>120000</v>
      </c>
      <c r="AF158" s="34" t="s">
        <v>274</v>
      </c>
      <c r="AG158" s="34">
        <v>2020</v>
      </c>
      <c r="AH158" s="35">
        <v>2020</v>
      </c>
    </row>
    <row r="159" spans="1:46" ht="61.5" x14ac:dyDescent="0.85">
      <c r="A159" s="20">
        <v>1</v>
      </c>
      <c r="B159" s="66">
        <f>SUBTOTAL(103,$A$22:A159)</f>
        <v>137</v>
      </c>
      <c r="C159" s="24" t="s">
        <v>1215</v>
      </c>
      <c r="D159" s="31">
        <f t="shared" si="19"/>
        <v>7871837.8899999997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3">
        <v>4</v>
      </c>
      <c r="L159" s="31">
        <v>7871837.8899999997</v>
      </c>
      <c r="M159" s="31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v>0</v>
      </c>
      <c r="AF159" s="34" t="s">
        <v>274</v>
      </c>
      <c r="AG159" s="34">
        <v>2020</v>
      </c>
      <c r="AH159" s="35" t="s">
        <v>274</v>
      </c>
    </row>
    <row r="160" spans="1:46" ht="61.5" x14ac:dyDescent="0.85">
      <c r="A160" s="20">
        <v>1</v>
      </c>
      <c r="B160" s="66">
        <f>SUBTOTAL(103,$A$22:A160)</f>
        <v>138</v>
      </c>
      <c r="C160" s="24" t="s">
        <v>1216</v>
      </c>
      <c r="D160" s="31">
        <f t="shared" si="19"/>
        <v>3010382.16</v>
      </c>
      <c r="E160" s="31">
        <v>188641.32</v>
      </c>
      <c r="F160" s="31">
        <v>0</v>
      </c>
      <c r="G160" s="31">
        <v>1349896.11</v>
      </c>
      <c r="H160" s="31">
        <v>178663.47</v>
      </c>
      <c r="I160" s="31">
        <v>1248692.8500000001</v>
      </c>
      <c r="J160" s="31">
        <v>0</v>
      </c>
      <c r="K160" s="33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f t="shared" ref="AC160:AC162" si="27">ROUND((E160+F160+G160+H160+I160+J160)*1.5%,2)</f>
        <v>44488.41</v>
      </c>
      <c r="AD160" s="31">
        <v>0</v>
      </c>
      <c r="AE160" s="31">
        <v>0</v>
      </c>
      <c r="AF160" s="34" t="s">
        <v>274</v>
      </c>
      <c r="AG160" s="34">
        <v>2020</v>
      </c>
      <c r="AH160" s="35">
        <v>2020</v>
      </c>
    </row>
    <row r="161" spans="1:80" ht="61.5" x14ac:dyDescent="0.85">
      <c r="A161" s="20">
        <v>1</v>
      </c>
      <c r="B161" s="66">
        <f>SUBTOTAL(103,$A$22:A161)</f>
        <v>139</v>
      </c>
      <c r="C161" s="24" t="s">
        <v>1217</v>
      </c>
      <c r="D161" s="31">
        <f t="shared" si="19"/>
        <v>2901759.67</v>
      </c>
      <c r="E161" s="31">
        <v>204220.48</v>
      </c>
      <c r="F161" s="31">
        <v>347232.06</v>
      </c>
      <c r="G161" s="31">
        <v>968662.29</v>
      </c>
      <c r="H161" s="31">
        <v>340067.7</v>
      </c>
      <c r="I161" s="31">
        <v>998693.99</v>
      </c>
      <c r="J161" s="31">
        <v>0</v>
      </c>
      <c r="K161" s="33">
        <v>0</v>
      </c>
      <c r="L161" s="31">
        <v>0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f t="shared" si="27"/>
        <v>42883.15</v>
      </c>
      <c r="AD161" s="31">
        <v>0</v>
      </c>
      <c r="AE161" s="31">
        <v>0</v>
      </c>
      <c r="AF161" s="34" t="s">
        <v>274</v>
      </c>
      <c r="AG161" s="34">
        <v>2020</v>
      </c>
      <c r="AH161" s="35">
        <v>2020</v>
      </c>
    </row>
    <row r="162" spans="1:80" ht="61.5" x14ac:dyDescent="0.85">
      <c r="A162" s="20">
        <v>1</v>
      </c>
      <c r="B162" s="66">
        <f>SUBTOTAL(103,$A$22:A162)</f>
        <v>140</v>
      </c>
      <c r="C162" s="24" t="s">
        <v>1218</v>
      </c>
      <c r="D162" s="31">
        <f t="shared" si="19"/>
        <v>5068816.8</v>
      </c>
      <c r="E162" s="31">
        <v>0</v>
      </c>
      <c r="F162" s="31">
        <v>0</v>
      </c>
      <c r="G162" s="31">
        <v>2189130.42</v>
      </c>
      <c r="H162" s="31">
        <v>460575.66</v>
      </c>
      <c r="I162" s="31">
        <v>2344202.1</v>
      </c>
      <c r="J162" s="31">
        <v>0</v>
      </c>
      <c r="K162" s="33">
        <v>0</v>
      </c>
      <c r="L162" s="31">
        <v>0</v>
      </c>
      <c r="M162" s="31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f t="shared" si="27"/>
        <v>74908.62</v>
      </c>
      <c r="AD162" s="31">
        <v>0</v>
      </c>
      <c r="AE162" s="31">
        <v>0</v>
      </c>
      <c r="AF162" s="34" t="s">
        <v>274</v>
      </c>
      <c r="AG162" s="34">
        <v>2020</v>
      </c>
      <c r="AH162" s="35">
        <v>2020</v>
      </c>
    </row>
    <row r="163" spans="1:80" ht="61.5" x14ac:dyDescent="0.85">
      <c r="A163" s="20">
        <v>1</v>
      </c>
      <c r="B163" s="66">
        <f>SUBTOTAL(103,$A$22:A163)</f>
        <v>141</v>
      </c>
      <c r="C163" s="24" t="s">
        <v>1219</v>
      </c>
      <c r="D163" s="31">
        <f t="shared" si="19"/>
        <v>3562559.92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3">
        <v>0</v>
      </c>
      <c r="L163" s="31">
        <v>0</v>
      </c>
      <c r="M163" s="31">
        <v>676</v>
      </c>
      <c r="N163" s="31">
        <v>3411389.08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f t="shared" ref="AC163" si="28">ROUND(N163*1.5%,2)</f>
        <v>51170.84</v>
      </c>
      <c r="AD163" s="31">
        <v>100000</v>
      </c>
      <c r="AE163" s="31">
        <v>0</v>
      </c>
      <c r="AF163" s="34">
        <v>2020</v>
      </c>
      <c r="AG163" s="34">
        <v>2020</v>
      </c>
      <c r="AH163" s="35">
        <v>2020</v>
      </c>
    </row>
    <row r="164" spans="1:80" ht="61.5" x14ac:dyDescent="0.85">
      <c r="A164" s="20">
        <v>1</v>
      </c>
      <c r="B164" s="66">
        <f>SUBTOTAL(103,$A$22:A164)</f>
        <v>142</v>
      </c>
      <c r="C164" s="24" t="s">
        <v>1357</v>
      </c>
      <c r="D164" s="31">
        <f t="shared" si="19"/>
        <v>6765057.8700000001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3">
        <v>0</v>
      </c>
      <c r="L164" s="31">
        <v>0</v>
      </c>
      <c r="M164" s="31">
        <v>1605.8</v>
      </c>
      <c r="N164" s="31">
        <v>6665081.6500000004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f>ROUND(N164*1.5%,2)</f>
        <v>99976.22</v>
      </c>
      <c r="AD164" s="31">
        <v>0</v>
      </c>
      <c r="AE164" s="31">
        <v>0</v>
      </c>
      <c r="AF164" s="34" t="s">
        <v>274</v>
      </c>
      <c r="AG164" s="34">
        <v>2020</v>
      </c>
      <c r="AH164" s="35">
        <v>2020</v>
      </c>
    </row>
    <row r="165" spans="1:80" ht="61.5" x14ac:dyDescent="0.85">
      <c r="A165" s="20">
        <v>1</v>
      </c>
      <c r="B165" s="66">
        <f>SUBTOTAL(103,$A$22:A165)</f>
        <v>143</v>
      </c>
      <c r="C165" s="24" t="s">
        <v>481</v>
      </c>
      <c r="D165" s="31">
        <f t="shared" si="19"/>
        <v>4358701.74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3">
        <v>0</v>
      </c>
      <c r="L165" s="31">
        <v>0</v>
      </c>
      <c r="M165" s="31">
        <v>719</v>
      </c>
      <c r="N165" s="31">
        <f>3767437.77-538188.54+946811.6</f>
        <v>4176060.83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f>ROUND(N165*1.5%,2)</f>
        <v>62640.91</v>
      </c>
      <c r="AD165" s="31">
        <v>120000</v>
      </c>
      <c r="AE165" s="31">
        <v>0</v>
      </c>
      <c r="AF165" s="34">
        <v>2020</v>
      </c>
      <c r="AG165" s="34">
        <v>2020</v>
      </c>
      <c r="AH165" s="35">
        <v>2020</v>
      </c>
    </row>
    <row r="166" spans="1:80" ht="61.5" x14ac:dyDescent="0.85">
      <c r="A166" s="20">
        <v>1</v>
      </c>
      <c r="B166" s="66">
        <f>SUBTOTAL(103,$A$22:A166)</f>
        <v>144</v>
      </c>
      <c r="C166" s="24" t="s">
        <v>1358</v>
      </c>
      <c r="D166" s="31">
        <f t="shared" si="19"/>
        <v>3032293.2399999998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3">
        <v>0</v>
      </c>
      <c r="L166" s="31">
        <v>0</v>
      </c>
      <c r="M166" s="31">
        <v>0</v>
      </c>
      <c r="N166" s="31">
        <v>0</v>
      </c>
      <c r="O166" s="31">
        <v>0</v>
      </c>
      <c r="P166" s="31">
        <v>0</v>
      </c>
      <c r="Q166" s="31">
        <v>593.15</v>
      </c>
      <c r="R166" s="31">
        <f>1741055.4+1138051.24</f>
        <v>2879106.6399999997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f>ROUND(R166*1.5%,2)</f>
        <v>43186.6</v>
      </c>
      <c r="AD166" s="31">
        <v>110000</v>
      </c>
      <c r="AE166" s="31">
        <v>0</v>
      </c>
      <c r="AF166" s="34">
        <v>2020</v>
      </c>
      <c r="AG166" s="34">
        <v>2020</v>
      </c>
      <c r="AH166" s="35">
        <v>2020</v>
      </c>
    </row>
    <row r="167" spans="1:80" ht="61.5" x14ac:dyDescent="0.85">
      <c r="A167" s="20">
        <v>1</v>
      </c>
      <c r="B167" s="66">
        <f>SUBTOTAL(103,$A$22:A167)</f>
        <v>145</v>
      </c>
      <c r="C167" s="24" t="s">
        <v>1655</v>
      </c>
      <c r="D167" s="31">
        <f t="shared" si="19"/>
        <v>2944456.9299999997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3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634.6</v>
      </c>
      <c r="R167" s="31">
        <f>2665320+70388.03+40708.59</f>
        <v>2776416.6199999996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f>ROUND(R167*1.5%,2)</f>
        <v>41646.25</v>
      </c>
      <c r="AD167" s="31">
        <f>120000+6394.06</f>
        <v>126394.06</v>
      </c>
      <c r="AE167" s="31">
        <v>0</v>
      </c>
      <c r="AF167" s="34">
        <v>2020</v>
      </c>
      <c r="AG167" s="34">
        <v>2020</v>
      </c>
      <c r="AH167" s="35">
        <v>2020</v>
      </c>
    </row>
    <row r="168" spans="1:80" ht="61.5" x14ac:dyDescent="0.85">
      <c r="B168" s="24" t="s">
        <v>800</v>
      </c>
      <c r="C168" s="117"/>
      <c r="D168" s="31">
        <f>SUM(D169:D208)</f>
        <v>157621357.26999998</v>
      </c>
      <c r="E168" s="31">
        <f t="shared" ref="E168:AE168" si="29">SUM(E169:E208)</f>
        <v>538632.42000000004</v>
      </c>
      <c r="F168" s="31">
        <f t="shared" si="29"/>
        <v>809426.82</v>
      </c>
      <c r="G168" s="31">
        <f t="shared" si="29"/>
        <v>13298875.449999999</v>
      </c>
      <c r="H168" s="31">
        <f t="shared" si="29"/>
        <v>160831.74</v>
      </c>
      <c r="I168" s="31">
        <f t="shared" si="29"/>
        <v>888867.71</v>
      </c>
      <c r="J168" s="31">
        <f t="shared" si="29"/>
        <v>0</v>
      </c>
      <c r="K168" s="33">
        <f t="shared" si="29"/>
        <v>16</v>
      </c>
      <c r="L168" s="31">
        <f t="shared" si="29"/>
        <v>33938164.390000001</v>
      </c>
      <c r="M168" s="31">
        <f t="shared" si="29"/>
        <v>16559.47</v>
      </c>
      <c r="N168" s="31">
        <f t="shared" si="29"/>
        <v>78086851.010000005</v>
      </c>
      <c r="O168" s="31">
        <f t="shared" si="29"/>
        <v>943</v>
      </c>
      <c r="P168" s="31">
        <f t="shared" si="29"/>
        <v>2835629.57</v>
      </c>
      <c r="Q168" s="31">
        <f t="shared" si="29"/>
        <v>3695</v>
      </c>
      <c r="R168" s="31">
        <f t="shared" si="29"/>
        <v>15104092.92</v>
      </c>
      <c r="S168" s="31">
        <f t="shared" si="29"/>
        <v>393.7</v>
      </c>
      <c r="T168" s="31">
        <f t="shared" si="29"/>
        <v>7108865.0800000001</v>
      </c>
      <c r="U168" s="31">
        <f t="shared" si="29"/>
        <v>0</v>
      </c>
      <c r="V168" s="31">
        <f t="shared" si="29"/>
        <v>0</v>
      </c>
      <c r="W168" s="31">
        <f t="shared" si="29"/>
        <v>0</v>
      </c>
      <c r="X168" s="31">
        <f t="shared" si="29"/>
        <v>0</v>
      </c>
      <c r="Y168" s="31">
        <f t="shared" si="29"/>
        <v>0</v>
      </c>
      <c r="Z168" s="31">
        <f t="shared" si="29"/>
        <v>0</v>
      </c>
      <c r="AA168" s="31">
        <f t="shared" si="29"/>
        <v>0</v>
      </c>
      <c r="AB168" s="31">
        <f t="shared" si="29"/>
        <v>0</v>
      </c>
      <c r="AC168" s="31">
        <f t="shared" si="29"/>
        <v>1782481.1</v>
      </c>
      <c r="AD168" s="31">
        <f t="shared" si="29"/>
        <v>3068639.06</v>
      </c>
      <c r="AE168" s="31">
        <f t="shared" si="29"/>
        <v>0</v>
      </c>
      <c r="AF168" s="72" t="s">
        <v>794</v>
      </c>
      <c r="AG168" s="72" t="s">
        <v>794</v>
      </c>
      <c r="AH168" s="91" t="s">
        <v>794</v>
      </c>
      <c r="AT168" s="20" t="e">
        <f t="shared" ref="AT168:AT184" si="30">VLOOKUP(C168,AW:AX,2,FALSE)</f>
        <v>#N/A</v>
      </c>
      <c r="BZ168" s="31">
        <v>157621357.26999995</v>
      </c>
      <c r="CA168" s="31"/>
      <c r="CB168" s="31">
        <f>BZ168-D168</f>
        <v>0</v>
      </c>
    </row>
    <row r="169" spans="1:80" ht="61.5" x14ac:dyDescent="0.85">
      <c r="A169" s="20">
        <v>1</v>
      </c>
      <c r="B169" s="66">
        <f>SUBTOTAL(103,$A$22:A169)</f>
        <v>146</v>
      </c>
      <c r="C169" s="24" t="s">
        <v>403</v>
      </c>
      <c r="D169" s="31">
        <f t="shared" ref="D169:D208" si="31">E169+F169+G169+H169+I169+J169+L169+N169+P169+R169+T169+U169+V169+W169+X169+Y169+Z169+AA169+AB169+AC169+AD169+AE169</f>
        <v>5254416.1700000009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3">
        <v>0</v>
      </c>
      <c r="L169" s="31">
        <v>0</v>
      </c>
      <c r="M169" s="31">
        <v>1122</v>
      </c>
      <c r="N169" s="31">
        <v>5003447.4200000009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f>ROUND(N169*1.5%,2)</f>
        <v>75051.710000000006</v>
      </c>
      <c r="AD169" s="31">
        <v>175917.04</v>
      </c>
      <c r="AE169" s="31">
        <v>0</v>
      </c>
      <c r="AF169" s="34">
        <v>2020</v>
      </c>
      <c r="AG169" s="34">
        <v>2020</v>
      </c>
      <c r="AH169" s="35">
        <v>2020</v>
      </c>
      <c r="AT169" s="20" t="e">
        <f t="shared" si="30"/>
        <v>#N/A</v>
      </c>
    </row>
    <row r="170" spans="1:80" ht="61.5" x14ac:dyDescent="0.85">
      <c r="A170" s="20">
        <v>1</v>
      </c>
      <c r="B170" s="66">
        <f>SUBTOTAL(103,$A$22:A170)</f>
        <v>147</v>
      </c>
      <c r="C170" s="24" t="s">
        <v>404</v>
      </c>
      <c r="D170" s="31">
        <f t="shared" si="31"/>
        <v>3416932.82</v>
      </c>
      <c r="E170" s="31">
        <v>448719.89</v>
      </c>
      <c r="F170" s="31">
        <v>809426.82</v>
      </c>
      <c r="G170" s="31">
        <v>1903240.64</v>
      </c>
      <c r="H170" s="31">
        <v>0</v>
      </c>
      <c r="I170" s="31">
        <v>0</v>
      </c>
      <c r="J170" s="31">
        <v>0</v>
      </c>
      <c r="K170" s="33">
        <v>0</v>
      </c>
      <c r="L170" s="31">
        <v>0</v>
      </c>
      <c r="M170" s="31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f t="shared" ref="AC170" si="32">ROUND((E170+F170+G170+H170+I170+J170)*1.5%,2)</f>
        <v>47420.81</v>
      </c>
      <c r="AD170" s="31">
        <v>208124.66</v>
      </c>
      <c r="AE170" s="31">
        <v>0</v>
      </c>
      <c r="AF170" s="34">
        <v>2020</v>
      </c>
      <c r="AG170" s="34">
        <v>2020</v>
      </c>
      <c r="AH170" s="35">
        <v>2020</v>
      </c>
      <c r="AT170" s="20" t="e">
        <f t="shared" si="30"/>
        <v>#N/A</v>
      </c>
    </row>
    <row r="171" spans="1:80" ht="61.5" x14ac:dyDescent="0.85">
      <c r="A171" s="20">
        <v>1</v>
      </c>
      <c r="B171" s="66">
        <f>SUBTOTAL(103,$A$22:A171)</f>
        <v>148</v>
      </c>
      <c r="C171" s="24" t="s">
        <v>405</v>
      </c>
      <c r="D171" s="31">
        <f t="shared" si="31"/>
        <v>2966463.55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3">
        <v>0</v>
      </c>
      <c r="L171" s="31">
        <v>0</v>
      </c>
      <c r="M171" s="31">
        <v>434</v>
      </c>
      <c r="N171" s="31">
        <f>3377410-540426.64</f>
        <v>2836983.36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f t="shared" ref="AC171:AC173" si="33">ROUND(N171*1.5%,2)</f>
        <v>42554.75</v>
      </c>
      <c r="AD171" s="31">
        <v>86925.440000000002</v>
      </c>
      <c r="AE171" s="31">
        <v>0</v>
      </c>
      <c r="AF171" s="34">
        <v>2020</v>
      </c>
      <c r="AG171" s="34">
        <v>2020</v>
      </c>
      <c r="AH171" s="35">
        <v>2020</v>
      </c>
      <c r="AT171" s="20" t="e">
        <f t="shared" si="30"/>
        <v>#N/A</v>
      </c>
    </row>
    <row r="172" spans="1:80" ht="61.5" x14ac:dyDescent="0.85">
      <c r="A172" s="20">
        <v>1</v>
      </c>
      <c r="B172" s="66">
        <f>SUBTOTAL(103,$A$22:A172)</f>
        <v>149</v>
      </c>
      <c r="C172" s="24" t="s">
        <v>406</v>
      </c>
      <c r="D172" s="31">
        <f t="shared" si="31"/>
        <v>4977514.91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3">
        <v>0</v>
      </c>
      <c r="L172" s="31">
        <v>0</v>
      </c>
      <c r="M172" s="31">
        <v>928</v>
      </c>
      <c r="N172" s="31">
        <v>4757799.24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f t="shared" si="33"/>
        <v>71366.990000000005</v>
      </c>
      <c r="AD172" s="31">
        <v>148348.68</v>
      </c>
      <c r="AE172" s="31">
        <v>0</v>
      </c>
      <c r="AF172" s="34">
        <v>2020</v>
      </c>
      <c r="AG172" s="34">
        <v>2020</v>
      </c>
      <c r="AH172" s="35">
        <v>2020</v>
      </c>
      <c r="AT172" s="20" t="e">
        <f t="shared" si="30"/>
        <v>#N/A</v>
      </c>
    </row>
    <row r="173" spans="1:80" ht="61.5" x14ac:dyDescent="0.85">
      <c r="A173" s="20">
        <v>1</v>
      </c>
      <c r="B173" s="66">
        <f>SUBTOTAL(103,$A$22:A173)</f>
        <v>150</v>
      </c>
      <c r="C173" s="24" t="s">
        <v>407</v>
      </c>
      <c r="D173" s="31">
        <f t="shared" si="31"/>
        <v>4523017.83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3">
        <v>0</v>
      </c>
      <c r="L173" s="31">
        <v>0</v>
      </c>
      <c r="M173" s="31">
        <v>976</v>
      </c>
      <c r="N173" s="31">
        <v>4308509.83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f t="shared" si="33"/>
        <v>64627.65</v>
      </c>
      <c r="AD173" s="31">
        <v>149880.35</v>
      </c>
      <c r="AE173" s="31">
        <v>0</v>
      </c>
      <c r="AF173" s="34">
        <v>2020</v>
      </c>
      <c r="AG173" s="34">
        <v>2020</v>
      </c>
      <c r="AH173" s="35">
        <v>2020</v>
      </c>
      <c r="AT173" s="20" t="e">
        <f t="shared" si="30"/>
        <v>#N/A</v>
      </c>
    </row>
    <row r="174" spans="1:80" ht="61.5" x14ac:dyDescent="0.85">
      <c r="A174" s="20">
        <v>1</v>
      </c>
      <c r="B174" s="66">
        <f>SUBTOTAL(103,$A$22:A174)</f>
        <v>151</v>
      </c>
      <c r="C174" s="24" t="s">
        <v>408</v>
      </c>
      <c r="D174" s="31">
        <f t="shared" si="31"/>
        <v>6546708.3700000001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3">
        <v>3</v>
      </c>
      <c r="L174" s="31">
        <v>6546708.3700000001</v>
      </c>
      <c r="M174" s="31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v>0</v>
      </c>
      <c r="AF174" s="34" t="s">
        <v>274</v>
      </c>
      <c r="AG174" s="34">
        <v>2020</v>
      </c>
      <c r="AH174" s="35" t="s">
        <v>274</v>
      </c>
      <c r="AT174" s="20">
        <f t="shared" si="30"/>
        <v>1</v>
      </c>
    </row>
    <row r="175" spans="1:80" ht="61.5" x14ac:dyDescent="0.85">
      <c r="A175" s="20">
        <v>1</v>
      </c>
      <c r="B175" s="66">
        <f>SUBTOTAL(103,$A$22:A175)</f>
        <v>152</v>
      </c>
      <c r="C175" s="24" t="s">
        <v>409</v>
      </c>
      <c r="D175" s="31">
        <f t="shared" si="31"/>
        <v>2301005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3">
        <v>0</v>
      </c>
      <c r="L175" s="31">
        <v>0</v>
      </c>
      <c r="M175" s="31">
        <v>508</v>
      </c>
      <c r="N175" s="31">
        <v>2267000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f>ROUND(N175*1.5%,2)</f>
        <v>34005</v>
      </c>
      <c r="AD175" s="31">
        <v>0</v>
      </c>
      <c r="AE175" s="31">
        <v>0</v>
      </c>
      <c r="AF175" s="34" t="s">
        <v>274</v>
      </c>
      <c r="AG175" s="34">
        <v>2020</v>
      </c>
      <c r="AH175" s="35">
        <v>2020</v>
      </c>
      <c r="AT175" s="20" t="e">
        <f t="shared" si="30"/>
        <v>#N/A</v>
      </c>
    </row>
    <row r="176" spans="1:80" ht="61.5" x14ac:dyDescent="0.85">
      <c r="A176" s="20">
        <v>1</v>
      </c>
      <c r="B176" s="66">
        <f>SUBTOTAL(103,$A$22:A176)</f>
        <v>153</v>
      </c>
      <c r="C176" s="24" t="s">
        <v>410</v>
      </c>
      <c r="D176" s="31">
        <f t="shared" si="31"/>
        <v>6546708.3700000001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3">
        <v>3</v>
      </c>
      <c r="L176" s="31">
        <v>6546708.3700000001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v>0</v>
      </c>
      <c r="AF176" s="34" t="s">
        <v>274</v>
      </c>
      <c r="AG176" s="34">
        <v>2020</v>
      </c>
      <c r="AH176" s="35" t="s">
        <v>274</v>
      </c>
      <c r="AT176" s="20" t="e">
        <f t="shared" si="30"/>
        <v>#N/A</v>
      </c>
    </row>
    <row r="177" spans="1:46" ht="61.5" x14ac:dyDescent="0.85">
      <c r="A177" s="20">
        <v>1</v>
      </c>
      <c r="B177" s="66">
        <f>SUBTOTAL(103,$A$22:A177)</f>
        <v>154</v>
      </c>
      <c r="C177" s="24" t="s">
        <v>411</v>
      </c>
      <c r="D177" s="31">
        <f t="shared" si="31"/>
        <v>8488648.8200000003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3">
        <v>0</v>
      </c>
      <c r="L177" s="31">
        <v>0</v>
      </c>
      <c r="M177" s="31">
        <v>1580</v>
      </c>
      <c r="N177" s="31">
        <v>8185978.25</v>
      </c>
      <c r="O177" s="31">
        <v>0</v>
      </c>
      <c r="P177" s="31">
        <v>0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f t="shared" ref="AC177:AC180" si="34">ROUND(N177*1.5%,2)</f>
        <v>122789.67</v>
      </c>
      <c r="AD177" s="31">
        <v>179880.9</v>
      </c>
      <c r="AE177" s="31">
        <v>0</v>
      </c>
      <c r="AF177" s="34">
        <v>2020</v>
      </c>
      <c r="AG177" s="34">
        <v>2020</v>
      </c>
      <c r="AH177" s="35">
        <v>2020</v>
      </c>
      <c r="AT177" s="20" t="e">
        <f t="shared" si="30"/>
        <v>#N/A</v>
      </c>
    </row>
    <row r="178" spans="1:46" ht="61.5" x14ac:dyDescent="0.85">
      <c r="A178" s="20">
        <v>1</v>
      </c>
      <c r="B178" s="66">
        <f>SUBTOTAL(103,$A$22:A178)</f>
        <v>155</v>
      </c>
      <c r="C178" s="24" t="s">
        <v>412</v>
      </c>
      <c r="D178" s="31">
        <f t="shared" si="31"/>
        <v>5245621.29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3">
        <v>0</v>
      </c>
      <c r="L178" s="31">
        <v>0</v>
      </c>
      <c r="M178" s="31">
        <v>1120</v>
      </c>
      <c r="N178" s="31">
        <v>4994211.8000000007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f t="shared" si="34"/>
        <v>74913.179999999993</v>
      </c>
      <c r="AD178" s="31">
        <v>176496.31</v>
      </c>
      <c r="AE178" s="31">
        <v>0</v>
      </c>
      <c r="AF178" s="34">
        <v>2020</v>
      </c>
      <c r="AG178" s="34">
        <v>2020</v>
      </c>
      <c r="AH178" s="35">
        <v>2020</v>
      </c>
      <c r="AT178" s="20" t="e">
        <f t="shared" si="30"/>
        <v>#N/A</v>
      </c>
    </row>
    <row r="179" spans="1:46" ht="61.5" x14ac:dyDescent="0.85">
      <c r="A179" s="20">
        <v>1</v>
      </c>
      <c r="B179" s="66">
        <f>SUBTOTAL(103,$A$22:A179)</f>
        <v>156</v>
      </c>
      <c r="C179" s="24" t="s">
        <v>413</v>
      </c>
      <c r="D179" s="31">
        <f t="shared" si="31"/>
        <v>2469495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3">
        <v>0</v>
      </c>
      <c r="L179" s="31">
        <v>0</v>
      </c>
      <c r="M179" s="31">
        <v>472</v>
      </c>
      <c r="N179" s="31">
        <v>2433000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f t="shared" si="34"/>
        <v>36495</v>
      </c>
      <c r="AD179" s="31">
        <v>0</v>
      </c>
      <c r="AE179" s="31">
        <v>0</v>
      </c>
      <c r="AF179" s="34" t="s">
        <v>274</v>
      </c>
      <c r="AG179" s="34">
        <v>2020</v>
      </c>
      <c r="AH179" s="35">
        <v>2020</v>
      </c>
      <c r="AT179" s="20" t="e">
        <f t="shared" si="30"/>
        <v>#N/A</v>
      </c>
    </row>
    <row r="180" spans="1:46" ht="61.5" x14ac:dyDescent="0.85">
      <c r="A180" s="20">
        <v>1</v>
      </c>
      <c r="B180" s="66">
        <f>SUBTOTAL(103,$A$22:A180)</f>
        <v>157</v>
      </c>
      <c r="C180" s="24" t="s">
        <v>414</v>
      </c>
      <c r="D180" s="31">
        <f t="shared" si="31"/>
        <v>3345593.72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3">
        <v>0</v>
      </c>
      <c r="L180" s="31">
        <v>0</v>
      </c>
      <c r="M180" s="31">
        <v>580</v>
      </c>
      <c r="N180" s="31">
        <v>3210150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f t="shared" si="34"/>
        <v>48152.25</v>
      </c>
      <c r="AD180" s="31">
        <v>87291.47</v>
      </c>
      <c r="AE180" s="31">
        <v>0</v>
      </c>
      <c r="AF180" s="34">
        <v>2020</v>
      </c>
      <c r="AG180" s="34">
        <v>2020</v>
      </c>
      <c r="AH180" s="35">
        <v>2020</v>
      </c>
      <c r="AT180" s="20" t="e">
        <f t="shared" si="30"/>
        <v>#N/A</v>
      </c>
    </row>
    <row r="181" spans="1:46" ht="61.5" x14ac:dyDescent="0.85">
      <c r="A181" s="20">
        <v>1</v>
      </c>
      <c r="B181" s="66">
        <f>SUBTOTAL(103,$A$22:A181)</f>
        <v>158</v>
      </c>
      <c r="C181" s="24" t="s">
        <v>415</v>
      </c>
      <c r="D181" s="31">
        <f t="shared" si="31"/>
        <v>4548533.17</v>
      </c>
      <c r="E181" s="31">
        <v>0</v>
      </c>
      <c r="F181" s="31">
        <v>0</v>
      </c>
      <c r="G181" s="31">
        <v>4380541.53</v>
      </c>
      <c r="H181" s="31">
        <v>0</v>
      </c>
      <c r="I181" s="31">
        <v>0</v>
      </c>
      <c r="J181" s="31">
        <v>0</v>
      </c>
      <c r="K181" s="33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f t="shared" ref="AC181" si="35">ROUND((E181+F181+G181+H181+I181+J181)*1.5%,2)</f>
        <v>65708.12</v>
      </c>
      <c r="AD181" s="31">
        <v>102283.52</v>
      </c>
      <c r="AE181" s="31">
        <v>0</v>
      </c>
      <c r="AF181" s="34">
        <v>2020</v>
      </c>
      <c r="AG181" s="34">
        <v>2020</v>
      </c>
      <c r="AH181" s="35">
        <v>2020</v>
      </c>
      <c r="AT181" s="20" t="e">
        <f t="shared" si="30"/>
        <v>#N/A</v>
      </c>
    </row>
    <row r="182" spans="1:46" ht="61.5" x14ac:dyDescent="0.85">
      <c r="A182" s="20">
        <v>1</v>
      </c>
      <c r="B182" s="66">
        <f>SUBTOTAL(103,$A$22:A182)</f>
        <v>159</v>
      </c>
      <c r="C182" s="24" t="s">
        <v>202</v>
      </c>
      <c r="D182" s="31">
        <f t="shared" si="31"/>
        <v>6228961.6500000004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3">
        <v>0</v>
      </c>
      <c r="L182" s="31">
        <v>0</v>
      </c>
      <c r="M182" s="31">
        <v>1330</v>
      </c>
      <c r="N182" s="31">
        <v>5963877.7400000002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f t="shared" ref="AC182:AC184" si="36">ROUND(N182*1.5%,2)</f>
        <v>89458.17</v>
      </c>
      <c r="AD182" s="31">
        <v>175625.74</v>
      </c>
      <c r="AE182" s="31">
        <v>0</v>
      </c>
      <c r="AF182" s="34">
        <v>2020</v>
      </c>
      <c r="AG182" s="34">
        <v>2020</v>
      </c>
      <c r="AH182" s="35">
        <v>2020</v>
      </c>
      <c r="AT182" s="20" t="e">
        <f t="shared" si="30"/>
        <v>#N/A</v>
      </c>
    </row>
    <row r="183" spans="1:46" ht="61.5" x14ac:dyDescent="0.85">
      <c r="A183" s="20">
        <v>1</v>
      </c>
      <c r="B183" s="66">
        <f>SUBTOTAL(103,$A$22:A183)</f>
        <v>160</v>
      </c>
      <c r="C183" s="24" t="s">
        <v>416</v>
      </c>
      <c r="D183" s="31">
        <f t="shared" si="31"/>
        <v>1450050.77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3">
        <v>0</v>
      </c>
      <c r="L183" s="31">
        <v>0</v>
      </c>
      <c r="M183" s="31">
        <v>335</v>
      </c>
      <c r="N183" s="31">
        <v>1428621.45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f t="shared" si="36"/>
        <v>21429.32</v>
      </c>
      <c r="AD183" s="31">
        <v>0</v>
      </c>
      <c r="AE183" s="31">
        <v>0</v>
      </c>
      <c r="AF183" s="34" t="s">
        <v>274</v>
      </c>
      <c r="AG183" s="34">
        <v>2020</v>
      </c>
      <c r="AH183" s="35">
        <v>2020</v>
      </c>
      <c r="AT183" s="20" t="e">
        <f t="shared" si="30"/>
        <v>#N/A</v>
      </c>
    </row>
    <row r="184" spans="1:46" ht="61.5" x14ac:dyDescent="0.85">
      <c r="A184" s="20">
        <v>1</v>
      </c>
      <c r="B184" s="66">
        <f>SUBTOTAL(103,$A$22:A184)</f>
        <v>161</v>
      </c>
      <c r="C184" s="24" t="s">
        <v>417</v>
      </c>
      <c r="D184" s="31">
        <f t="shared" si="31"/>
        <v>9474410.2199999988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3">
        <v>0</v>
      </c>
      <c r="L184" s="31">
        <v>0</v>
      </c>
      <c r="M184" s="31">
        <v>2022</v>
      </c>
      <c r="N184" s="31">
        <v>9159157.9000000004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f t="shared" si="36"/>
        <v>137387.37</v>
      </c>
      <c r="AD184" s="31">
        <v>177864.95</v>
      </c>
      <c r="AE184" s="31">
        <v>0</v>
      </c>
      <c r="AF184" s="34">
        <v>2020</v>
      </c>
      <c r="AG184" s="34">
        <v>2020</v>
      </c>
      <c r="AH184" s="35">
        <v>2020</v>
      </c>
      <c r="AT184" s="20" t="e">
        <f t="shared" si="30"/>
        <v>#N/A</v>
      </c>
    </row>
    <row r="185" spans="1:46" ht="61.5" x14ac:dyDescent="0.85">
      <c r="A185" s="20">
        <v>1</v>
      </c>
      <c r="B185" s="66">
        <f>SUBTOTAL(103,$A$22:A185)</f>
        <v>162</v>
      </c>
      <c r="C185" s="24" t="s">
        <v>1220</v>
      </c>
      <c r="D185" s="31">
        <f t="shared" si="31"/>
        <v>1414530.3299999998</v>
      </c>
      <c r="E185" s="31">
        <v>89912.53</v>
      </c>
      <c r="F185" s="31">
        <v>0</v>
      </c>
      <c r="G185" s="31">
        <v>906881.67</v>
      </c>
      <c r="H185" s="31">
        <v>160831.74</v>
      </c>
      <c r="I185" s="31">
        <v>236000</v>
      </c>
      <c r="J185" s="31">
        <v>0</v>
      </c>
      <c r="K185" s="33">
        <v>0</v>
      </c>
      <c r="L185" s="31">
        <v>0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f t="shared" ref="AC185" si="37">ROUND((E185+F185+G185+H185+I185+J185)*1.5%,2)</f>
        <v>20904.39</v>
      </c>
      <c r="AD185" s="31">
        <v>0</v>
      </c>
      <c r="AE185" s="31">
        <v>0</v>
      </c>
      <c r="AF185" s="34" t="s">
        <v>274</v>
      </c>
      <c r="AG185" s="34">
        <v>2020</v>
      </c>
      <c r="AH185" s="35">
        <v>2020</v>
      </c>
    </row>
    <row r="186" spans="1:46" ht="61.5" x14ac:dyDescent="0.85">
      <c r="A186" s="20">
        <v>1</v>
      </c>
      <c r="B186" s="66">
        <f>SUBTOTAL(103,$A$22:A186)</f>
        <v>163</v>
      </c>
      <c r="C186" s="24" t="s">
        <v>1221</v>
      </c>
      <c r="D186" s="31">
        <f t="shared" si="31"/>
        <v>1572592.28</v>
      </c>
      <c r="E186" s="31">
        <v>0</v>
      </c>
      <c r="F186" s="31">
        <v>0</v>
      </c>
      <c r="G186" s="31">
        <v>0</v>
      </c>
      <c r="H186" s="31">
        <v>0</v>
      </c>
      <c r="I186" s="31">
        <v>0</v>
      </c>
      <c r="J186" s="31">
        <v>0</v>
      </c>
      <c r="K186" s="33">
        <v>0</v>
      </c>
      <c r="L186" s="31">
        <v>0</v>
      </c>
      <c r="M186" s="31">
        <v>331.47</v>
      </c>
      <c r="N186" s="31">
        <v>1549352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f>ROUND(N186*1.5%,2)</f>
        <v>23240.28</v>
      </c>
      <c r="AD186" s="31">
        <v>0</v>
      </c>
      <c r="AE186" s="31">
        <v>0</v>
      </c>
      <c r="AF186" s="34" t="s">
        <v>274</v>
      </c>
      <c r="AG186" s="34">
        <v>2020</v>
      </c>
      <c r="AH186" s="35">
        <v>2020</v>
      </c>
    </row>
    <row r="187" spans="1:46" ht="61.5" x14ac:dyDescent="0.85">
      <c r="A187" s="20">
        <v>1</v>
      </c>
      <c r="B187" s="66">
        <f>SUBTOTAL(103,$A$22:A187)</f>
        <v>164</v>
      </c>
      <c r="C187" s="24" t="s">
        <v>1222</v>
      </c>
      <c r="D187" s="31">
        <f t="shared" si="31"/>
        <v>2050106.0299999998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3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1171</v>
      </c>
      <c r="R187" s="31">
        <v>2019808.9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f>ROUND(R187*1.5%,2)</f>
        <v>30297.13</v>
      </c>
      <c r="AD187" s="31">
        <v>0</v>
      </c>
      <c r="AE187" s="31">
        <v>0</v>
      </c>
      <c r="AF187" s="34" t="s">
        <v>274</v>
      </c>
      <c r="AG187" s="34">
        <v>2020</v>
      </c>
      <c r="AH187" s="35">
        <v>2020</v>
      </c>
    </row>
    <row r="188" spans="1:46" ht="61.5" x14ac:dyDescent="0.85">
      <c r="A188" s="20">
        <v>1</v>
      </c>
      <c r="B188" s="66">
        <f>SUBTOTAL(103,$A$22:A188)</f>
        <v>165</v>
      </c>
      <c r="C188" s="24" t="s">
        <v>1223</v>
      </c>
      <c r="D188" s="31">
        <f t="shared" si="31"/>
        <v>4006501.16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3">
        <v>2</v>
      </c>
      <c r="L188" s="31">
        <v>4006501.16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v>0</v>
      </c>
      <c r="AF188" s="34" t="s">
        <v>274</v>
      </c>
      <c r="AG188" s="34">
        <v>2020</v>
      </c>
      <c r="AH188" s="35" t="s">
        <v>274</v>
      </c>
    </row>
    <row r="189" spans="1:46" ht="61.5" x14ac:dyDescent="0.85">
      <c r="A189" s="20">
        <v>1</v>
      </c>
      <c r="B189" s="66">
        <f>SUBTOTAL(103,$A$22:A189)</f>
        <v>166</v>
      </c>
      <c r="C189" s="24" t="s">
        <v>1224</v>
      </c>
      <c r="D189" s="31">
        <f t="shared" si="31"/>
        <v>211998.06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3">
        <v>0</v>
      </c>
      <c r="L189" s="31">
        <v>0</v>
      </c>
      <c r="M189" s="31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31">
        <v>18.7</v>
      </c>
      <c r="T189" s="31">
        <v>208865.08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f>ROUND(T189*1.5%,2)</f>
        <v>3132.98</v>
      </c>
      <c r="AD189" s="31">
        <v>0</v>
      </c>
      <c r="AE189" s="31">
        <v>0</v>
      </c>
      <c r="AF189" s="34" t="s">
        <v>274</v>
      </c>
      <c r="AG189" s="34">
        <v>2020</v>
      </c>
      <c r="AH189" s="35">
        <v>2020</v>
      </c>
    </row>
    <row r="190" spans="1:46" ht="61.5" x14ac:dyDescent="0.85">
      <c r="A190" s="20">
        <v>1</v>
      </c>
      <c r="B190" s="66">
        <f>SUBTOTAL(103,$A$22:A190)</f>
        <v>167</v>
      </c>
      <c r="C190" s="24" t="s">
        <v>1225</v>
      </c>
      <c r="D190" s="31">
        <f t="shared" si="31"/>
        <v>2878164.01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3">
        <v>0</v>
      </c>
      <c r="L190" s="31">
        <v>0</v>
      </c>
      <c r="M190" s="31">
        <v>0</v>
      </c>
      <c r="N190" s="31">
        <v>0</v>
      </c>
      <c r="O190" s="31">
        <v>943</v>
      </c>
      <c r="P190" s="31">
        <v>2835629.57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f>ROUND(P190*1.5%,2)</f>
        <v>42534.44</v>
      </c>
      <c r="AD190" s="31">
        <v>0</v>
      </c>
      <c r="AE190" s="31">
        <v>0</v>
      </c>
      <c r="AF190" s="34" t="s">
        <v>274</v>
      </c>
      <c r="AG190" s="34">
        <v>2020</v>
      </c>
      <c r="AH190" s="35">
        <v>2020</v>
      </c>
    </row>
    <row r="191" spans="1:46" ht="61.5" x14ac:dyDescent="0.85">
      <c r="A191" s="20">
        <v>1</v>
      </c>
      <c r="B191" s="66">
        <f>SUBTOTAL(103,$A$22:A191)</f>
        <v>168</v>
      </c>
      <c r="C191" s="24" t="s">
        <v>1226</v>
      </c>
      <c r="D191" s="31">
        <f t="shared" si="31"/>
        <v>4006501.15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3">
        <v>2</v>
      </c>
      <c r="L191" s="31">
        <v>4006501.15</v>
      </c>
      <c r="M191" s="31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4" t="s">
        <v>274</v>
      </c>
      <c r="AG191" s="34">
        <v>2020</v>
      </c>
      <c r="AH191" s="35" t="s">
        <v>274</v>
      </c>
    </row>
    <row r="192" spans="1:46" ht="61.5" x14ac:dyDescent="0.85">
      <c r="A192" s="20">
        <v>1</v>
      </c>
      <c r="B192" s="66">
        <f>SUBTOTAL(103,$A$22:A192)</f>
        <v>169</v>
      </c>
      <c r="C192" s="24" t="s">
        <v>1227</v>
      </c>
      <c r="D192" s="31">
        <f t="shared" si="31"/>
        <v>3186819.12</v>
      </c>
      <c r="E192" s="31">
        <v>0</v>
      </c>
      <c r="F192" s="31">
        <v>0</v>
      </c>
      <c r="G192" s="31">
        <v>3139723.27</v>
      </c>
      <c r="H192" s="31">
        <v>0</v>
      </c>
      <c r="I192" s="31">
        <v>0</v>
      </c>
      <c r="J192" s="31">
        <v>0</v>
      </c>
      <c r="K192" s="33">
        <v>0</v>
      </c>
      <c r="L192" s="31">
        <v>0</v>
      </c>
      <c r="M192" s="31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f t="shared" ref="AC192:AC195" si="38">ROUND((E192+F192+G192+H192+I192+J192)*1.5%,2)</f>
        <v>47095.85</v>
      </c>
      <c r="AD192" s="31">
        <v>0</v>
      </c>
      <c r="AE192" s="31">
        <v>0</v>
      </c>
      <c r="AF192" s="34" t="s">
        <v>274</v>
      </c>
      <c r="AG192" s="34">
        <v>2020</v>
      </c>
      <c r="AH192" s="35">
        <v>2020</v>
      </c>
    </row>
    <row r="193" spans="1:75" ht="61.5" x14ac:dyDescent="0.85">
      <c r="A193" s="20">
        <v>1</v>
      </c>
      <c r="B193" s="66">
        <f>SUBTOTAL(103,$A$22:A193)</f>
        <v>170</v>
      </c>
      <c r="C193" s="24" t="s">
        <v>1228</v>
      </c>
      <c r="D193" s="31">
        <f t="shared" si="31"/>
        <v>2490798.6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3">
        <v>0</v>
      </c>
      <c r="L193" s="31">
        <v>0</v>
      </c>
      <c r="M193" s="31">
        <v>477</v>
      </c>
      <c r="N193" s="31">
        <v>2335762.17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f>ROUND(N193*1.5%,2)</f>
        <v>35036.43</v>
      </c>
      <c r="AD193" s="31">
        <v>120000</v>
      </c>
      <c r="AE193" s="31">
        <v>0</v>
      </c>
      <c r="AF193" s="34">
        <v>2020</v>
      </c>
      <c r="AG193" s="34">
        <v>2020</v>
      </c>
      <c r="AH193" s="35">
        <v>2020</v>
      </c>
    </row>
    <row r="194" spans="1:75" ht="61.5" x14ac:dyDescent="0.85">
      <c r="A194" s="20">
        <v>1</v>
      </c>
      <c r="B194" s="66">
        <f>SUBTOTAL(103,$A$22:A194)</f>
        <v>171</v>
      </c>
      <c r="C194" s="24" t="s">
        <v>1229</v>
      </c>
      <c r="D194" s="31">
        <f t="shared" si="31"/>
        <v>464475.87</v>
      </c>
      <c r="E194" s="31">
        <v>0</v>
      </c>
      <c r="F194" s="31">
        <v>0</v>
      </c>
      <c r="G194" s="31">
        <v>0</v>
      </c>
      <c r="H194" s="31">
        <v>0</v>
      </c>
      <c r="I194" s="31">
        <v>457611.69</v>
      </c>
      <c r="J194" s="31">
        <v>0</v>
      </c>
      <c r="K194" s="33">
        <v>0</v>
      </c>
      <c r="L194" s="31">
        <v>0</v>
      </c>
      <c r="M194" s="31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f t="shared" si="38"/>
        <v>6864.18</v>
      </c>
      <c r="AD194" s="31">
        <v>0</v>
      </c>
      <c r="AE194" s="31">
        <v>0</v>
      </c>
      <c r="AF194" s="34" t="s">
        <v>274</v>
      </c>
      <c r="AG194" s="34">
        <v>2020</v>
      </c>
      <c r="AH194" s="35">
        <v>2020</v>
      </c>
    </row>
    <row r="195" spans="1:75" ht="61.5" x14ac:dyDescent="0.85">
      <c r="A195" s="20">
        <v>1</v>
      </c>
      <c r="B195" s="66">
        <f>SUBTOTAL(103,$A$22:A195)</f>
        <v>172</v>
      </c>
      <c r="C195" s="24" t="s">
        <v>1230</v>
      </c>
      <c r="D195" s="31">
        <f t="shared" si="31"/>
        <v>198184.86</v>
      </c>
      <c r="E195" s="31">
        <v>0</v>
      </c>
      <c r="F195" s="31">
        <v>0</v>
      </c>
      <c r="G195" s="31">
        <v>0</v>
      </c>
      <c r="H195" s="31">
        <v>0</v>
      </c>
      <c r="I195" s="31">
        <v>195256.02</v>
      </c>
      <c r="J195" s="31">
        <v>0</v>
      </c>
      <c r="K195" s="33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f t="shared" si="38"/>
        <v>2928.84</v>
      </c>
      <c r="AD195" s="31">
        <v>0</v>
      </c>
      <c r="AE195" s="31">
        <v>0</v>
      </c>
      <c r="AF195" s="34" t="s">
        <v>274</v>
      </c>
      <c r="AG195" s="34">
        <v>2020</v>
      </c>
      <c r="AH195" s="35">
        <v>2020</v>
      </c>
    </row>
    <row r="196" spans="1:75" ht="61.5" x14ac:dyDescent="0.85">
      <c r="A196" s="20">
        <v>1</v>
      </c>
      <c r="B196" s="66">
        <f>SUBTOTAL(103,$A$22:A196)</f>
        <v>173</v>
      </c>
      <c r="C196" s="24" t="s">
        <v>1231</v>
      </c>
      <c r="D196" s="31">
        <f t="shared" si="31"/>
        <v>2028570.37</v>
      </c>
      <c r="E196" s="31">
        <v>0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3">
        <v>1</v>
      </c>
      <c r="L196" s="31">
        <v>2028570.37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31">
        <v>0</v>
      </c>
      <c r="T196" s="31">
        <v>0</v>
      </c>
      <c r="U196" s="31">
        <v>0</v>
      </c>
      <c r="V196" s="31">
        <v>0</v>
      </c>
      <c r="W196" s="31">
        <v>0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0</v>
      </c>
      <c r="AE196" s="31">
        <v>0</v>
      </c>
      <c r="AF196" s="34" t="s">
        <v>274</v>
      </c>
      <c r="AG196" s="34">
        <v>2020</v>
      </c>
      <c r="AH196" s="35" t="s">
        <v>274</v>
      </c>
    </row>
    <row r="197" spans="1:75" ht="61.5" x14ac:dyDescent="0.85">
      <c r="A197" s="20">
        <v>1</v>
      </c>
      <c r="B197" s="66">
        <f>SUBTOTAL(103,$A$22:A197)</f>
        <v>174</v>
      </c>
      <c r="C197" s="24" t="s">
        <v>1232</v>
      </c>
      <c r="D197" s="31">
        <f t="shared" si="31"/>
        <v>2028570.37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3">
        <v>1</v>
      </c>
      <c r="L197" s="31">
        <v>2028570.37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v>0</v>
      </c>
      <c r="AF197" s="34" t="s">
        <v>274</v>
      </c>
      <c r="AG197" s="34">
        <v>2020</v>
      </c>
      <c r="AH197" s="35" t="s">
        <v>274</v>
      </c>
    </row>
    <row r="198" spans="1:75" ht="61.5" x14ac:dyDescent="0.85">
      <c r="A198" s="20">
        <v>1</v>
      </c>
      <c r="B198" s="66">
        <f>SUBTOTAL(103,$A$22:A198)</f>
        <v>175</v>
      </c>
      <c r="C198" s="24" t="s">
        <v>1233</v>
      </c>
      <c r="D198" s="31">
        <f t="shared" si="31"/>
        <v>8774604.5999999996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3">
        <v>4</v>
      </c>
      <c r="L198" s="31">
        <v>8774604.5999999996</v>
      </c>
      <c r="M198" s="31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v>0</v>
      </c>
      <c r="AD198" s="31">
        <v>0</v>
      </c>
      <c r="AE198" s="31">
        <v>0</v>
      </c>
      <c r="AF198" s="34" t="s">
        <v>274</v>
      </c>
      <c r="AG198" s="34">
        <v>2020</v>
      </c>
      <c r="AH198" s="35" t="s">
        <v>274</v>
      </c>
    </row>
    <row r="199" spans="1:75" ht="61.5" x14ac:dyDescent="0.85">
      <c r="A199" s="20">
        <v>1</v>
      </c>
      <c r="B199" s="66">
        <f>SUBTOTAL(103,$A$22:A199)</f>
        <v>176</v>
      </c>
      <c r="C199" s="24" t="s">
        <v>1351</v>
      </c>
      <c r="D199" s="31">
        <f t="shared" si="31"/>
        <v>3013015.67</v>
      </c>
      <c r="E199" s="31">
        <v>0</v>
      </c>
      <c r="F199" s="31">
        <v>0</v>
      </c>
      <c r="G199" s="31">
        <v>2968488.34</v>
      </c>
      <c r="H199" s="31">
        <v>0</v>
      </c>
      <c r="I199" s="31">
        <v>0</v>
      </c>
      <c r="J199" s="31">
        <v>0</v>
      </c>
      <c r="K199" s="33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f t="shared" ref="AC199" si="39">ROUND((E199+F199+G199+H199+I199+J199)*1.5%,2)</f>
        <v>44527.33</v>
      </c>
      <c r="AD199" s="31">
        <v>0</v>
      </c>
      <c r="AE199" s="31">
        <v>0</v>
      </c>
      <c r="AF199" s="34" t="s">
        <v>274</v>
      </c>
      <c r="AG199" s="34">
        <v>2020</v>
      </c>
      <c r="AH199" s="35">
        <v>2020</v>
      </c>
    </row>
    <row r="200" spans="1:75" ht="61.5" x14ac:dyDescent="0.85">
      <c r="A200" s="20">
        <v>1</v>
      </c>
      <c r="B200" s="66">
        <f>SUBTOTAL(103,$A$22:A200)</f>
        <v>177</v>
      </c>
      <c r="C200" s="24" t="s">
        <v>1364</v>
      </c>
      <c r="D200" s="31">
        <f t="shared" si="31"/>
        <v>13530548.279999999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3">
        <v>0</v>
      </c>
      <c r="L200" s="31">
        <v>0</v>
      </c>
      <c r="M200" s="31">
        <v>0</v>
      </c>
      <c r="N200" s="31">
        <v>0</v>
      </c>
      <c r="O200" s="31">
        <v>0</v>
      </c>
      <c r="P200" s="31">
        <v>0</v>
      </c>
      <c r="Q200" s="31">
        <v>2524</v>
      </c>
      <c r="R200" s="31">
        <v>13084284.02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f>ROUND(R200*1.5%,2)</f>
        <v>196264.26</v>
      </c>
      <c r="AD200" s="31">
        <v>250000</v>
      </c>
      <c r="AE200" s="31">
        <v>0</v>
      </c>
      <c r="AF200" s="34">
        <v>2020</v>
      </c>
      <c r="AG200" s="34">
        <v>2020</v>
      </c>
      <c r="AH200" s="34">
        <v>2020</v>
      </c>
      <c r="AI200" s="34">
        <v>2020</v>
      </c>
      <c r="AJ200" s="34">
        <v>2020</v>
      </c>
      <c r="AK200" s="34">
        <v>2020</v>
      </c>
      <c r="AL200" s="34">
        <v>2020</v>
      </c>
      <c r="AM200" s="34">
        <v>2020</v>
      </c>
      <c r="AN200" s="34">
        <v>2020</v>
      </c>
      <c r="AO200" s="34">
        <v>2020</v>
      </c>
      <c r="AP200" s="34">
        <v>2020</v>
      </c>
      <c r="AQ200" s="34">
        <v>2020</v>
      </c>
      <c r="AR200" s="34">
        <v>2020</v>
      </c>
      <c r="AS200" s="34">
        <v>2020</v>
      </c>
      <c r="AT200" s="34">
        <v>2020</v>
      </c>
      <c r="AU200" s="34">
        <v>2020</v>
      </c>
      <c r="AV200" s="34">
        <v>2020</v>
      </c>
      <c r="AW200" s="34">
        <v>2020</v>
      </c>
      <c r="AX200" s="34">
        <v>2020</v>
      </c>
      <c r="AY200" s="34">
        <v>2020</v>
      </c>
      <c r="AZ200" s="34">
        <v>2020</v>
      </c>
      <c r="BA200" s="34">
        <v>2020</v>
      </c>
      <c r="BB200" s="34">
        <v>2020</v>
      </c>
      <c r="BC200" s="34">
        <v>2020</v>
      </c>
      <c r="BD200" s="34">
        <v>2020</v>
      </c>
      <c r="BE200" s="34">
        <v>2020</v>
      </c>
      <c r="BF200" s="34">
        <v>2020</v>
      </c>
      <c r="BG200" s="34">
        <v>2020</v>
      </c>
      <c r="BH200" s="34">
        <v>2020</v>
      </c>
      <c r="BI200" s="34">
        <v>2020</v>
      </c>
      <c r="BJ200" s="34">
        <v>2020</v>
      </c>
      <c r="BK200" s="34">
        <v>2020</v>
      </c>
      <c r="BL200" s="34">
        <v>2020</v>
      </c>
      <c r="BM200" s="34">
        <v>2020</v>
      </c>
      <c r="BN200" s="34">
        <v>2020</v>
      </c>
      <c r="BO200" s="34">
        <v>2020</v>
      </c>
      <c r="BP200" s="34">
        <v>2020</v>
      </c>
      <c r="BQ200" s="34">
        <v>2020</v>
      </c>
      <c r="BR200" s="34">
        <v>2020</v>
      </c>
      <c r="BS200" s="34">
        <v>2020</v>
      </c>
      <c r="BT200" s="34">
        <v>2020</v>
      </c>
      <c r="BU200" s="34">
        <v>2020</v>
      </c>
      <c r="BV200" s="34">
        <v>2020</v>
      </c>
      <c r="BW200" s="34">
        <v>2020</v>
      </c>
    </row>
    <row r="201" spans="1:75" ht="61.5" x14ac:dyDescent="0.85">
      <c r="A201" s="20">
        <v>1</v>
      </c>
      <c r="B201" s="66">
        <f>SUBTOTAL(103,$A$22:A201)</f>
        <v>178</v>
      </c>
      <c r="C201" s="24" t="s">
        <v>1365</v>
      </c>
      <c r="D201" s="31">
        <f t="shared" si="31"/>
        <v>3278000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3">
        <v>0</v>
      </c>
      <c r="L201" s="31">
        <v>0</v>
      </c>
      <c r="M201" s="31">
        <v>590</v>
      </c>
      <c r="N201" s="31">
        <v>3111330.05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f>ROUND(N201*1.5%,2)</f>
        <v>46669.95</v>
      </c>
      <c r="AD201" s="31">
        <v>120000</v>
      </c>
      <c r="AE201" s="31">
        <v>0</v>
      </c>
      <c r="AF201" s="34">
        <v>2020</v>
      </c>
      <c r="AG201" s="34">
        <v>2020</v>
      </c>
      <c r="AH201" s="34">
        <v>2020</v>
      </c>
    </row>
    <row r="202" spans="1:75" ht="61.5" x14ac:dyDescent="0.85">
      <c r="A202" s="20">
        <v>1</v>
      </c>
      <c r="B202" s="66">
        <f>SUBTOTAL(103,$A$22:A202)</f>
        <v>179</v>
      </c>
      <c r="C202" s="24" t="s">
        <v>1366</v>
      </c>
      <c r="D202" s="31">
        <f t="shared" si="31"/>
        <v>3657500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3">
        <v>0</v>
      </c>
      <c r="L202" s="31">
        <v>0</v>
      </c>
      <c r="M202" s="31">
        <v>665</v>
      </c>
      <c r="N202" s="31">
        <v>3485221.67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f t="shared" ref="AC202:AC204" si="40">ROUND(N202*1.5%,2)</f>
        <v>52278.33</v>
      </c>
      <c r="AD202" s="31">
        <v>120000</v>
      </c>
      <c r="AE202" s="31">
        <v>0</v>
      </c>
      <c r="AF202" s="34">
        <v>2020</v>
      </c>
      <c r="AG202" s="34">
        <v>2020</v>
      </c>
      <c r="AH202" s="34">
        <v>2020</v>
      </c>
    </row>
    <row r="203" spans="1:75" ht="61.5" x14ac:dyDescent="0.85">
      <c r="A203" s="20">
        <v>1</v>
      </c>
      <c r="B203" s="66">
        <f>SUBTOTAL(103,$A$22:A203)</f>
        <v>180</v>
      </c>
      <c r="C203" s="24" t="s">
        <v>1367</v>
      </c>
      <c r="D203" s="31">
        <f t="shared" si="31"/>
        <v>1353000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3">
        <v>0</v>
      </c>
      <c r="L203" s="31">
        <v>0</v>
      </c>
      <c r="M203" s="31">
        <v>246</v>
      </c>
      <c r="N203" s="31">
        <v>1234482.76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f t="shared" si="40"/>
        <v>18517.240000000002</v>
      </c>
      <c r="AD203" s="31">
        <v>100000</v>
      </c>
      <c r="AE203" s="31">
        <v>0</v>
      </c>
      <c r="AF203" s="34">
        <v>2020</v>
      </c>
      <c r="AG203" s="34">
        <v>2020</v>
      </c>
      <c r="AH203" s="34">
        <v>2020</v>
      </c>
    </row>
    <row r="204" spans="1:75" ht="61.5" x14ac:dyDescent="0.85">
      <c r="A204" s="20">
        <v>1</v>
      </c>
      <c r="B204" s="66">
        <f>SUBTOTAL(103,$A$22:A204)</f>
        <v>181</v>
      </c>
      <c r="C204" s="24" t="s">
        <v>1368</v>
      </c>
      <c r="D204" s="31">
        <f t="shared" si="31"/>
        <v>1391500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3">
        <v>0</v>
      </c>
      <c r="L204" s="31">
        <v>0</v>
      </c>
      <c r="M204" s="31">
        <v>253</v>
      </c>
      <c r="N204" s="31">
        <v>1272413.79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f t="shared" si="40"/>
        <v>19086.21</v>
      </c>
      <c r="AD204" s="31">
        <v>100000</v>
      </c>
      <c r="AE204" s="31">
        <v>0</v>
      </c>
      <c r="AF204" s="34">
        <v>2020</v>
      </c>
      <c r="AG204" s="34">
        <v>2020</v>
      </c>
      <c r="AH204" s="34">
        <v>2020</v>
      </c>
    </row>
    <row r="205" spans="1:75" ht="61.5" x14ac:dyDescent="0.85">
      <c r="A205" s="20">
        <v>1</v>
      </c>
      <c r="B205" s="66">
        <f>SUBTOTAL(103,$A$22:A205)</f>
        <v>182</v>
      </c>
      <c r="C205" s="24" t="s">
        <v>1648</v>
      </c>
      <c r="D205" s="31">
        <f t="shared" si="31"/>
        <v>2365849.39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3">
        <v>0</v>
      </c>
      <c r="L205" s="31">
        <v>0</v>
      </c>
      <c r="M205" s="31">
        <v>630</v>
      </c>
      <c r="N205" s="31">
        <v>2330886.1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f>ROUND(N205*1.5%,2)</f>
        <v>34963.29</v>
      </c>
      <c r="AD205" s="31">
        <v>0</v>
      </c>
      <c r="AE205" s="31">
        <v>0</v>
      </c>
      <c r="AF205" s="34" t="s">
        <v>274</v>
      </c>
      <c r="AG205" s="34">
        <v>2020</v>
      </c>
      <c r="AH205" s="34">
        <v>2020</v>
      </c>
    </row>
    <row r="206" spans="1:75" ht="61.5" x14ac:dyDescent="0.85">
      <c r="A206" s="20">
        <v>1</v>
      </c>
      <c r="B206" s="66">
        <f>SUBTOTAL(103,$A$22:A206)</f>
        <v>183</v>
      </c>
      <c r="C206" s="24" t="s">
        <v>1660</v>
      </c>
      <c r="D206" s="31">
        <f t="shared" si="31"/>
        <v>2631787.1999999997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3">
        <v>0</v>
      </c>
      <c r="L206" s="31">
        <v>0</v>
      </c>
      <c r="M206" s="31">
        <v>504</v>
      </c>
      <c r="N206" s="31">
        <v>2474667.19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f>ROUND(N206*1.5%,2)</f>
        <v>37120.01</v>
      </c>
      <c r="AD206" s="31">
        <v>120000</v>
      </c>
      <c r="AE206" s="31">
        <v>0</v>
      </c>
      <c r="AF206" s="34">
        <v>2020</v>
      </c>
      <c r="AG206" s="34">
        <v>2020</v>
      </c>
      <c r="AH206" s="35">
        <v>2020</v>
      </c>
    </row>
    <row r="207" spans="1:75" ht="61.5" x14ac:dyDescent="0.85">
      <c r="A207" s="20">
        <v>1</v>
      </c>
      <c r="B207" s="66">
        <f>SUBTOTAL(103,$A$22:A207)</f>
        <v>184</v>
      </c>
      <c r="C207" s="24" t="s">
        <v>1661</v>
      </c>
      <c r="D207" s="31">
        <f t="shared" si="31"/>
        <v>3280798.23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3">
        <v>0</v>
      </c>
      <c r="L207" s="31">
        <v>0</v>
      </c>
      <c r="M207" s="31">
        <v>630</v>
      </c>
      <c r="N207" s="31">
        <v>3114086.93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f>ROUND(N207*1.5%,2)</f>
        <v>46711.3</v>
      </c>
      <c r="AD207" s="31">
        <v>120000</v>
      </c>
      <c r="AE207" s="31">
        <v>0</v>
      </c>
      <c r="AF207" s="34">
        <v>2020</v>
      </c>
      <c r="AG207" s="34">
        <v>2020</v>
      </c>
      <c r="AH207" s="35">
        <v>2020</v>
      </c>
    </row>
    <row r="208" spans="1:75" ht="61.5" x14ac:dyDescent="0.85">
      <c r="A208" s="20">
        <v>1</v>
      </c>
      <c r="B208" s="66">
        <f>SUBTOTAL(103,$A$22:A208)</f>
        <v>185</v>
      </c>
      <c r="C208" s="24" t="s">
        <v>1692</v>
      </c>
      <c r="D208" s="31">
        <f t="shared" si="31"/>
        <v>10022860.029999999</v>
      </c>
      <c r="E208" s="31">
        <v>0</v>
      </c>
      <c r="F208" s="31">
        <v>0</v>
      </c>
      <c r="G208" s="31">
        <v>0</v>
      </c>
      <c r="H208" s="31">
        <v>0</v>
      </c>
      <c r="I208" s="31">
        <v>0</v>
      </c>
      <c r="J208" s="31">
        <v>0</v>
      </c>
      <c r="K208" s="33">
        <v>0</v>
      </c>
      <c r="L208" s="31">
        <v>0</v>
      </c>
      <c r="M208" s="31">
        <v>826</v>
      </c>
      <c r="N208" s="31">
        <f>2700000-67014.64-3074</f>
        <v>2629911.36</v>
      </c>
      <c r="O208" s="31">
        <v>0</v>
      </c>
      <c r="P208" s="31">
        <v>0</v>
      </c>
      <c r="Q208" s="31">
        <v>0</v>
      </c>
      <c r="R208" s="31">
        <v>0</v>
      </c>
      <c r="S208" s="31">
        <v>375</v>
      </c>
      <c r="T208" s="31">
        <f>6900000</f>
        <v>6900000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1">
        <v>0</v>
      </c>
      <c r="AA208" s="31">
        <v>0</v>
      </c>
      <c r="AB208" s="31">
        <v>0</v>
      </c>
      <c r="AC208" s="31">
        <f>ROUND((N208+T208)*1.5%,2)</f>
        <v>142948.67000000001</v>
      </c>
      <c r="AD208" s="31">
        <v>350000</v>
      </c>
      <c r="AE208" s="31">
        <v>0</v>
      </c>
      <c r="AF208" s="34">
        <v>2020</v>
      </c>
      <c r="AG208" s="34">
        <v>2020</v>
      </c>
      <c r="AH208" s="35">
        <v>2020</v>
      </c>
    </row>
    <row r="209" spans="1:46" ht="61.5" x14ac:dyDescent="0.85">
      <c r="B209" s="24" t="s">
        <v>803</v>
      </c>
      <c r="C209" s="117"/>
      <c r="D209" s="31">
        <f>SUM(D210:D242)</f>
        <v>182923711.81999996</v>
      </c>
      <c r="E209" s="31">
        <f t="shared" ref="E209:AE209" si="41">SUM(E210:E242)</f>
        <v>845974.22</v>
      </c>
      <c r="F209" s="31">
        <f t="shared" si="41"/>
        <v>0</v>
      </c>
      <c r="G209" s="31">
        <f t="shared" si="41"/>
        <v>7605779.9500000011</v>
      </c>
      <c r="H209" s="31">
        <f t="shared" si="41"/>
        <v>1495105.15</v>
      </c>
      <c r="I209" s="31">
        <f t="shared" si="41"/>
        <v>4332440.83</v>
      </c>
      <c r="J209" s="31">
        <f t="shared" si="41"/>
        <v>0</v>
      </c>
      <c r="K209" s="33">
        <f t="shared" si="41"/>
        <v>56</v>
      </c>
      <c r="L209" s="31">
        <f t="shared" si="41"/>
        <v>104923606.87000002</v>
      </c>
      <c r="M209" s="31">
        <f t="shared" si="41"/>
        <v>9462.3100000000013</v>
      </c>
      <c r="N209" s="31">
        <f t="shared" si="41"/>
        <v>40783456.829999998</v>
      </c>
      <c r="O209" s="31">
        <f t="shared" si="41"/>
        <v>0</v>
      </c>
      <c r="P209" s="31">
        <f t="shared" si="41"/>
        <v>0</v>
      </c>
      <c r="Q209" s="31">
        <f t="shared" si="41"/>
        <v>5344.7599999999993</v>
      </c>
      <c r="R209" s="31">
        <f t="shared" si="41"/>
        <v>20208691.669999998</v>
      </c>
      <c r="S209" s="31">
        <f t="shared" si="41"/>
        <v>0</v>
      </c>
      <c r="T209" s="31">
        <f t="shared" si="41"/>
        <v>0</v>
      </c>
      <c r="U209" s="31">
        <f t="shared" si="41"/>
        <v>0</v>
      </c>
      <c r="V209" s="31">
        <f t="shared" si="41"/>
        <v>0</v>
      </c>
      <c r="W209" s="31">
        <f t="shared" si="41"/>
        <v>0</v>
      </c>
      <c r="X209" s="31">
        <f t="shared" si="41"/>
        <v>0</v>
      </c>
      <c r="Y209" s="31">
        <f t="shared" si="41"/>
        <v>0</v>
      </c>
      <c r="Z209" s="31">
        <f t="shared" si="41"/>
        <v>0</v>
      </c>
      <c r="AA209" s="31">
        <f t="shared" si="41"/>
        <v>0</v>
      </c>
      <c r="AB209" s="31">
        <f t="shared" si="41"/>
        <v>0</v>
      </c>
      <c r="AC209" s="31">
        <f t="shared" si="41"/>
        <v>1129071.74</v>
      </c>
      <c r="AD209" s="31">
        <f t="shared" si="41"/>
        <v>1239584.56</v>
      </c>
      <c r="AE209" s="31">
        <f t="shared" si="41"/>
        <v>360000</v>
      </c>
      <c r="AF209" s="72" t="s">
        <v>794</v>
      </c>
      <c r="AG209" s="72" t="s">
        <v>794</v>
      </c>
      <c r="AH209" s="91" t="s">
        <v>794</v>
      </c>
      <c r="AT209" s="20" t="e">
        <f t="shared" ref="AT209:AT221" si="42">VLOOKUP(C209,AW:AX,2,FALSE)</f>
        <v>#N/A</v>
      </c>
    </row>
    <row r="210" spans="1:46" ht="61.5" x14ac:dyDescent="0.85">
      <c r="A210" s="20">
        <v>1</v>
      </c>
      <c r="B210" s="66">
        <f>SUBTOTAL(103,$A$22:A210)</f>
        <v>186</v>
      </c>
      <c r="C210" s="24" t="s">
        <v>804</v>
      </c>
      <c r="D210" s="31">
        <f t="shared" ref="D210:D242" si="43">E210+F210+G210+H210+I210+J210+L210+N210+P210+R210+T210+U210+V210+W210+X210+Y210+Z210+AA210+AB210+AC210+AD210+AE210</f>
        <v>8097350.3199999994</v>
      </c>
      <c r="E210" s="31">
        <v>0</v>
      </c>
      <c r="F210" s="31">
        <v>0</v>
      </c>
      <c r="G210" s="31">
        <v>0</v>
      </c>
      <c r="H210" s="31">
        <v>0</v>
      </c>
      <c r="I210" s="31">
        <v>0</v>
      </c>
      <c r="J210" s="31">
        <v>0</v>
      </c>
      <c r="K210" s="33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1402</v>
      </c>
      <c r="R210" s="31">
        <v>7829901.7899999991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f t="shared" ref="AC210" si="44">ROUND(R210*1.5%,2)</f>
        <v>117448.53</v>
      </c>
      <c r="AD210" s="31">
        <v>150000</v>
      </c>
      <c r="AE210" s="31">
        <v>0</v>
      </c>
      <c r="AF210" s="34">
        <v>2020</v>
      </c>
      <c r="AG210" s="34">
        <v>2020</v>
      </c>
      <c r="AH210" s="35">
        <v>2020</v>
      </c>
      <c r="AT210" s="20" t="e">
        <f t="shared" si="42"/>
        <v>#N/A</v>
      </c>
    </row>
    <row r="211" spans="1:46" ht="61.5" x14ac:dyDescent="0.85">
      <c r="A211" s="20">
        <v>1</v>
      </c>
      <c r="B211" s="66">
        <f>SUBTOTAL(103,$A$22:A211)</f>
        <v>187</v>
      </c>
      <c r="C211" s="24" t="s">
        <v>805</v>
      </c>
      <c r="D211" s="31">
        <f t="shared" si="43"/>
        <v>2390164.4000000004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3">
        <v>0</v>
      </c>
      <c r="L211" s="31">
        <v>0</v>
      </c>
      <c r="M211" s="31">
        <v>510</v>
      </c>
      <c r="N211" s="31">
        <v>2267010.7400000002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f t="shared" ref="AC211:AC212" si="45">ROUND(N211*1.5%,2)</f>
        <v>34005.160000000003</v>
      </c>
      <c r="AD211" s="31">
        <v>89148.5</v>
      </c>
      <c r="AE211" s="31">
        <v>0</v>
      </c>
      <c r="AF211" s="34">
        <v>2020</v>
      </c>
      <c r="AG211" s="34">
        <v>2020</v>
      </c>
      <c r="AH211" s="35">
        <v>2020</v>
      </c>
      <c r="AT211" s="20" t="e">
        <f t="shared" si="42"/>
        <v>#N/A</v>
      </c>
    </row>
    <row r="212" spans="1:46" ht="61.5" x14ac:dyDescent="0.85">
      <c r="A212" s="20">
        <v>1</v>
      </c>
      <c r="B212" s="66">
        <f>SUBTOTAL(103,$A$22:A212)</f>
        <v>188</v>
      </c>
      <c r="C212" s="24" t="s">
        <v>806</v>
      </c>
      <c r="D212" s="31">
        <f t="shared" si="43"/>
        <v>1247111.4300000002</v>
      </c>
      <c r="E212" s="31">
        <v>0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3">
        <v>0</v>
      </c>
      <c r="L212" s="31">
        <v>0</v>
      </c>
      <c r="M212" s="31">
        <v>265</v>
      </c>
      <c r="N212" s="31">
        <v>1140865.8600000001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f t="shared" si="45"/>
        <v>17112.990000000002</v>
      </c>
      <c r="AD212" s="31">
        <f>100000-10867.42</f>
        <v>89132.58</v>
      </c>
      <c r="AE212" s="31">
        <v>0</v>
      </c>
      <c r="AF212" s="34">
        <v>2020</v>
      </c>
      <c r="AG212" s="34">
        <v>2020</v>
      </c>
      <c r="AH212" s="35">
        <v>2020</v>
      </c>
      <c r="AT212" s="20" t="e">
        <f t="shared" si="42"/>
        <v>#N/A</v>
      </c>
    </row>
    <row r="213" spans="1:46" ht="61.5" x14ac:dyDescent="0.85">
      <c r="A213" s="20">
        <v>1</v>
      </c>
      <c r="B213" s="66">
        <f>SUBTOTAL(103,$A$22:A213)</f>
        <v>189</v>
      </c>
      <c r="C213" s="24" t="s">
        <v>807</v>
      </c>
      <c r="D213" s="31">
        <f t="shared" si="43"/>
        <v>6235239.4299999997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3">
        <v>3</v>
      </c>
      <c r="L213" s="31">
        <v>6235239.4299999997</v>
      </c>
      <c r="M213" s="31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v>0</v>
      </c>
      <c r="AD213" s="31">
        <v>0</v>
      </c>
      <c r="AE213" s="31">
        <v>0</v>
      </c>
      <c r="AF213" s="34" t="s">
        <v>274</v>
      </c>
      <c r="AG213" s="34">
        <v>2020</v>
      </c>
      <c r="AH213" s="35" t="s">
        <v>274</v>
      </c>
      <c r="AT213" s="20" t="e">
        <f t="shared" si="42"/>
        <v>#N/A</v>
      </c>
    </row>
    <row r="214" spans="1:46" ht="61.5" x14ac:dyDescent="0.85">
      <c r="A214" s="20">
        <v>1</v>
      </c>
      <c r="B214" s="66">
        <f>SUBTOTAL(103,$A$22:A214)</f>
        <v>190</v>
      </c>
      <c r="C214" s="24" t="s">
        <v>808</v>
      </c>
      <c r="D214" s="31">
        <f t="shared" si="43"/>
        <v>8305636.5700000003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3">
        <v>4</v>
      </c>
      <c r="L214" s="31">
        <v>8305636.5700000003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4" t="s">
        <v>274</v>
      </c>
      <c r="AG214" s="34">
        <v>2020</v>
      </c>
      <c r="AH214" s="35" t="s">
        <v>274</v>
      </c>
      <c r="AT214" s="20" t="e">
        <f t="shared" si="42"/>
        <v>#N/A</v>
      </c>
    </row>
    <row r="215" spans="1:46" ht="61.5" x14ac:dyDescent="0.85">
      <c r="A215" s="20">
        <v>1</v>
      </c>
      <c r="B215" s="66">
        <f>SUBTOTAL(103,$A$22:A215)</f>
        <v>191</v>
      </c>
      <c r="C215" s="24" t="s">
        <v>809</v>
      </c>
      <c r="D215" s="31">
        <f t="shared" si="43"/>
        <v>10305814.43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3">
        <v>5</v>
      </c>
      <c r="L215" s="31">
        <v>10305814.43</v>
      </c>
      <c r="M215" s="31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v>0</v>
      </c>
      <c r="AD215" s="31">
        <v>0</v>
      </c>
      <c r="AE215" s="31">
        <v>0</v>
      </c>
      <c r="AF215" s="34" t="s">
        <v>274</v>
      </c>
      <c r="AG215" s="34">
        <v>2020</v>
      </c>
      <c r="AH215" s="35" t="s">
        <v>274</v>
      </c>
      <c r="AT215" s="20" t="e">
        <f t="shared" si="42"/>
        <v>#N/A</v>
      </c>
    </row>
    <row r="216" spans="1:46" ht="61.5" x14ac:dyDescent="0.85">
      <c r="A216" s="20">
        <v>1</v>
      </c>
      <c r="B216" s="66">
        <f>SUBTOTAL(103,$A$22:A216)</f>
        <v>192</v>
      </c>
      <c r="C216" s="24" t="s">
        <v>810</v>
      </c>
      <c r="D216" s="31">
        <f t="shared" si="43"/>
        <v>9954095.7100000009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3">
        <v>5</v>
      </c>
      <c r="L216" s="31">
        <v>9954095.7100000009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  <c r="AC216" s="31">
        <v>0</v>
      </c>
      <c r="AD216" s="31">
        <v>0</v>
      </c>
      <c r="AE216" s="31">
        <v>0</v>
      </c>
      <c r="AF216" s="34" t="s">
        <v>274</v>
      </c>
      <c r="AG216" s="34">
        <v>2020</v>
      </c>
      <c r="AH216" s="35" t="s">
        <v>274</v>
      </c>
      <c r="AT216" s="20" t="e">
        <f t="shared" si="42"/>
        <v>#N/A</v>
      </c>
    </row>
    <row r="217" spans="1:46" ht="61.5" x14ac:dyDescent="0.85">
      <c r="A217" s="20">
        <v>1</v>
      </c>
      <c r="B217" s="66">
        <f>SUBTOTAL(103,$A$22:A217)</f>
        <v>193</v>
      </c>
      <c r="C217" s="24" t="s">
        <v>811</v>
      </c>
      <c r="D217" s="31">
        <f t="shared" si="43"/>
        <v>9311263.3400000017</v>
      </c>
      <c r="E217" s="31">
        <v>749597.22</v>
      </c>
      <c r="F217" s="31">
        <v>0</v>
      </c>
      <c r="G217" s="31">
        <f>6632817.44-1050860.34</f>
        <v>5581957.1000000006</v>
      </c>
      <c r="H217" s="31">
        <v>900908.28</v>
      </c>
      <c r="I217" s="31">
        <v>1694890.44</v>
      </c>
      <c r="J217" s="31">
        <v>0</v>
      </c>
      <c r="K217" s="33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f t="shared" ref="AC217" si="46">ROUND((E217+F217+G217+H217+I217+J217)*1.5%,2)</f>
        <v>133910.29999999999</v>
      </c>
      <c r="AD217" s="31">
        <v>250000</v>
      </c>
      <c r="AE217" s="31">
        <v>0</v>
      </c>
      <c r="AF217" s="34">
        <v>2020</v>
      </c>
      <c r="AG217" s="34">
        <v>2020</v>
      </c>
      <c r="AH217" s="35">
        <v>2020</v>
      </c>
      <c r="AT217" s="20" t="e">
        <f t="shared" si="42"/>
        <v>#N/A</v>
      </c>
    </row>
    <row r="218" spans="1:46" ht="61.5" x14ac:dyDescent="0.85">
      <c r="A218" s="20">
        <v>1</v>
      </c>
      <c r="B218" s="66">
        <f>SUBTOTAL(103,$A$22:A218)</f>
        <v>194</v>
      </c>
      <c r="C218" s="24" t="s">
        <v>812</v>
      </c>
      <c r="D218" s="31">
        <f t="shared" si="43"/>
        <v>3165589.23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3">
        <v>0</v>
      </c>
      <c r="L218" s="31">
        <v>0</v>
      </c>
      <c r="M218" s="31">
        <v>675</v>
      </c>
      <c r="N218" s="31">
        <v>3038705.17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f t="shared" ref="AC218:AC220" si="47">ROUND(N218*1.5%,2)</f>
        <v>45580.58</v>
      </c>
      <c r="AD218" s="31">
        <v>81303.48</v>
      </c>
      <c r="AE218" s="31">
        <v>0</v>
      </c>
      <c r="AF218" s="34">
        <v>2020</v>
      </c>
      <c r="AG218" s="34">
        <v>2020</v>
      </c>
      <c r="AH218" s="35">
        <v>2020</v>
      </c>
      <c r="AT218" s="20" t="e">
        <f t="shared" si="42"/>
        <v>#N/A</v>
      </c>
    </row>
    <row r="219" spans="1:46" ht="61.5" x14ac:dyDescent="0.85">
      <c r="A219" s="20">
        <v>1</v>
      </c>
      <c r="B219" s="66">
        <f>SUBTOTAL(103,$A$22:A219)</f>
        <v>195</v>
      </c>
      <c r="C219" s="24" t="s">
        <v>813</v>
      </c>
      <c r="D219" s="31">
        <f t="shared" si="43"/>
        <v>8070053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3">
        <v>0</v>
      </c>
      <c r="L219" s="31">
        <v>0</v>
      </c>
      <c r="M219" s="31">
        <v>1700</v>
      </c>
      <c r="N219" s="31">
        <v>7812860.0999999996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f t="shared" si="47"/>
        <v>117192.9</v>
      </c>
      <c r="AD219" s="31">
        <v>140000</v>
      </c>
      <c r="AE219" s="31">
        <v>0</v>
      </c>
      <c r="AF219" s="34">
        <v>2020</v>
      </c>
      <c r="AG219" s="34">
        <v>2020</v>
      </c>
      <c r="AH219" s="35">
        <v>2020</v>
      </c>
      <c r="AT219" s="20" t="e">
        <f t="shared" si="42"/>
        <v>#N/A</v>
      </c>
    </row>
    <row r="220" spans="1:46" ht="61.5" x14ac:dyDescent="0.85">
      <c r="A220" s="20">
        <v>1</v>
      </c>
      <c r="B220" s="66">
        <f>SUBTOTAL(103,$A$22:A220)</f>
        <v>196</v>
      </c>
      <c r="C220" s="24" t="s">
        <v>814</v>
      </c>
      <c r="D220" s="31">
        <f t="shared" si="43"/>
        <v>5126857.2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3">
        <v>0</v>
      </c>
      <c r="L220" s="31">
        <v>0</v>
      </c>
      <c r="M220" s="31">
        <v>1080</v>
      </c>
      <c r="N220" s="31">
        <v>4913159.8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f t="shared" si="47"/>
        <v>73697.399999999994</v>
      </c>
      <c r="AD220" s="31">
        <v>140000</v>
      </c>
      <c r="AE220" s="31">
        <v>0</v>
      </c>
      <c r="AF220" s="34">
        <v>2020</v>
      </c>
      <c r="AG220" s="34">
        <v>2020</v>
      </c>
      <c r="AH220" s="35">
        <v>2020</v>
      </c>
      <c r="AT220" s="20" t="e">
        <f t="shared" si="42"/>
        <v>#N/A</v>
      </c>
    </row>
    <row r="221" spans="1:46" ht="61.5" x14ac:dyDescent="0.85">
      <c r="A221" s="20">
        <v>1</v>
      </c>
      <c r="B221" s="66">
        <f>SUBTOTAL(103,$A$22:A221)</f>
        <v>197</v>
      </c>
      <c r="C221" s="24" t="s">
        <v>815</v>
      </c>
      <c r="D221" s="31">
        <f t="shared" si="43"/>
        <v>8021093.6299999999</v>
      </c>
      <c r="E221" s="31">
        <v>0</v>
      </c>
      <c r="F221" s="31">
        <v>0</v>
      </c>
      <c r="G221" s="31">
        <v>0</v>
      </c>
      <c r="H221" s="31">
        <v>0</v>
      </c>
      <c r="I221" s="31">
        <v>1464542.39</v>
      </c>
      <c r="J221" s="31">
        <v>0</v>
      </c>
      <c r="K221" s="33">
        <v>0</v>
      </c>
      <c r="L221" s="31">
        <v>0</v>
      </c>
      <c r="M221" s="31">
        <v>1340</v>
      </c>
      <c r="N221" s="31">
        <f>6051559.71+150000</f>
        <v>6201559.71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f>ROUND((N221+I221)*1.5%,2)</f>
        <v>114991.53</v>
      </c>
      <c r="AD221" s="31">
        <v>0</v>
      </c>
      <c r="AE221" s="31">
        <v>240000</v>
      </c>
      <c r="AF221" s="34" t="s">
        <v>274</v>
      </c>
      <c r="AG221" s="34">
        <v>2020</v>
      </c>
      <c r="AH221" s="35">
        <v>2020</v>
      </c>
      <c r="AT221" s="20" t="e">
        <f t="shared" si="42"/>
        <v>#N/A</v>
      </c>
    </row>
    <row r="222" spans="1:46" ht="61.5" x14ac:dyDescent="0.85">
      <c r="A222" s="20">
        <v>1</v>
      </c>
      <c r="B222" s="66">
        <f>SUBTOTAL(103,$A$22:A222)</f>
        <v>198</v>
      </c>
      <c r="C222" s="24" t="s">
        <v>1234</v>
      </c>
      <c r="D222" s="31">
        <f t="shared" si="43"/>
        <v>3853007.0700000003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3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808.48</v>
      </c>
      <c r="R222" s="31">
        <v>3796066.08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  <c r="AC222" s="31">
        <f>ROUND(R222*1.5%,2)</f>
        <v>56940.99</v>
      </c>
      <c r="AD222" s="31">
        <v>0</v>
      </c>
      <c r="AE222" s="31">
        <v>0</v>
      </c>
      <c r="AF222" s="34" t="s">
        <v>274</v>
      </c>
      <c r="AG222" s="34">
        <v>2020</v>
      </c>
      <c r="AH222" s="35">
        <v>2020</v>
      </c>
    </row>
    <row r="223" spans="1:46" ht="61.5" x14ac:dyDescent="0.85">
      <c r="A223" s="20">
        <v>1</v>
      </c>
      <c r="B223" s="66">
        <f>SUBTOTAL(103,$A$22:A223)</f>
        <v>199</v>
      </c>
      <c r="C223" s="24" t="s">
        <v>1235</v>
      </c>
      <c r="D223" s="31">
        <f t="shared" si="43"/>
        <v>3073982.0300000003</v>
      </c>
      <c r="E223" s="31">
        <v>96377</v>
      </c>
      <c r="F223" s="31">
        <v>0</v>
      </c>
      <c r="G223" s="31">
        <v>2023822.85</v>
      </c>
      <c r="H223" s="31">
        <v>178273.87</v>
      </c>
      <c r="I223" s="31">
        <v>730080</v>
      </c>
      <c r="J223" s="31">
        <v>0</v>
      </c>
      <c r="K223" s="33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  <c r="AC223" s="31">
        <f t="shared" ref="AC223" si="48">ROUND((E223+F223+G223+H223+I223+J223)*1.5%,2)</f>
        <v>45428.31</v>
      </c>
      <c r="AD223" s="31">
        <v>0</v>
      </c>
      <c r="AE223" s="31">
        <v>0</v>
      </c>
      <c r="AF223" s="34" t="s">
        <v>274</v>
      </c>
      <c r="AG223" s="34">
        <v>2020</v>
      </c>
      <c r="AH223" s="35">
        <v>2020</v>
      </c>
    </row>
    <row r="224" spans="1:46" ht="61.5" x14ac:dyDescent="0.85">
      <c r="A224" s="20">
        <v>1</v>
      </c>
      <c r="B224" s="66">
        <f>SUBTOTAL(103,$A$22:A224)</f>
        <v>200</v>
      </c>
      <c r="C224" s="24" t="s">
        <v>1236</v>
      </c>
      <c r="D224" s="31">
        <f t="shared" si="43"/>
        <v>5597667.4300000006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3">
        <v>0</v>
      </c>
      <c r="L224" s="31">
        <v>0</v>
      </c>
      <c r="M224" s="31">
        <v>1206.22</v>
      </c>
      <c r="N224" s="31">
        <v>5514943.2800000003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f>ROUND(N224*1.5%,2)</f>
        <v>82724.149999999994</v>
      </c>
      <c r="AD224" s="31">
        <v>0</v>
      </c>
      <c r="AE224" s="31">
        <v>0</v>
      </c>
      <c r="AF224" s="34" t="s">
        <v>274</v>
      </c>
      <c r="AG224" s="34">
        <v>2020</v>
      </c>
      <c r="AH224" s="35">
        <v>2020</v>
      </c>
    </row>
    <row r="225" spans="1:34" ht="61.5" x14ac:dyDescent="0.85">
      <c r="A225" s="20">
        <v>1</v>
      </c>
      <c r="B225" s="66">
        <f>SUBTOTAL(103,$A$22:A225)</f>
        <v>201</v>
      </c>
      <c r="C225" s="24" t="s">
        <v>1237</v>
      </c>
      <c r="D225" s="31">
        <f t="shared" si="43"/>
        <v>871733.77</v>
      </c>
      <c r="E225" s="31">
        <v>0</v>
      </c>
      <c r="F225" s="31">
        <v>0</v>
      </c>
      <c r="G225" s="31">
        <v>0</v>
      </c>
      <c r="H225" s="31">
        <v>415923</v>
      </c>
      <c r="I225" s="31">
        <v>442928</v>
      </c>
      <c r="J225" s="31">
        <v>0</v>
      </c>
      <c r="K225" s="33">
        <v>0</v>
      </c>
      <c r="L225" s="31">
        <v>0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f t="shared" ref="AC225" si="49">ROUND((E225+F225+G225+H225+I225+J225)*1.5%,2)</f>
        <v>12882.77</v>
      </c>
      <c r="AD225" s="31">
        <v>0</v>
      </c>
      <c r="AE225" s="31">
        <v>0</v>
      </c>
      <c r="AF225" s="34" t="s">
        <v>274</v>
      </c>
      <c r="AG225" s="34">
        <v>2020</v>
      </c>
      <c r="AH225" s="35">
        <v>2020</v>
      </c>
    </row>
    <row r="226" spans="1:34" ht="61.5" x14ac:dyDescent="0.85">
      <c r="A226" s="20">
        <v>1</v>
      </c>
      <c r="B226" s="66">
        <f>SUBTOTAL(103,$A$22:A226)</f>
        <v>202</v>
      </c>
      <c r="C226" s="24" t="s">
        <v>1238</v>
      </c>
      <c r="D226" s="31">
        <f t="shared" si="43"/>
        <v>3913221.0100000002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3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2100</v>
      </c>
      <c r="R226" s="31">
        <v>3737163.56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f>ROUND(R226*1.5%,2)</f>
        <v>56057.45</v>
      </c>
      <c r="AD226" s="31">
        <v>0</v>
      </c>
      <c r="AE226" s="31">
        <v>120000</v>
      </c>
      <c r="AF226" s="34" t="s">
        <v>274</v>
      </c>
      <c r="AG226" s="34">
        <v>2020</v>
      </c>
      <c r="AH226" s="35">
        <v>2020</v>
      </c>
    </row>
    <row r="227" spans="1:34" ht="61.5" x14ac:dyDescent="0.85">
      <c r="A227" s="20">
        <v>1</v>
      </c>
      <c r="B227" s="66">
        <f>SUBTOTAL(103,$A$22:A227)</f>
        <v>203</v>
      </c>
      <c r="C227" s="24" t="s">
        <v>1239</v>
      </c>
      <c r="D227" s="31">
        <f t="shared" si="43"/>
        <v>3820202.75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3">
        <v>0</v>
      </c>
      <c r="L227" s="31">
        <v>0</v>
      </c>
      <c r="M227" s="31">
        <v>1137.3</v>
      </c>
      <c r="N227" s="31">
        <v>3763746.55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f>ROUND(N227*1.5%,2)</f>
        <v>56456.2</v>
      </c>
      <c r="AD227" s="31">
        <v>0</v>
      </c>
      <c r="AE227" s="31">
        <v>0</v>
      </c>
      <c r="AF227" s="34" t="s">
        <v>274</v>
      </c>
      <c r="AG227" s="34">
        <v>2020</v>
      </c>
      <c r="AH227" s="35">
        <v>2020</v>
      </c>
    </row>
    <row r="228" spans="1:34" ht="61.5" x14ac:dyDescent="0.85">
      <c r="A228" s="20">
        <v>1</v>
      </c>
      <c r="B228" s="66">
        <f>SUBTOTAL(103,$A$22:A228)</f>
        <v>204</v>
      </c>
      <c r="C228" s="24" t="s">
        <v>1240</v>
      </c>
      <c r="D228" s="31">
        <f t="shared" si="43"/>
        <v>1739206.6500000001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3">
        <v>0</v>
      </c>
      <c r="L228" s="31">
        <v>0</v>
      </c>
      <c r="M228" s="31">
        <v>0</v>
      </c>
      <c r="N228" s="31">
        <v>0</v>
      </c>
      <c r="O228" s="31">
        <v>0</v>
      </c>
      <c r="P228" s="31">
        <v>0</v>
      </c>
      <c r="Q228" s="31">
        <v>364.88</v>
      </c>
      <c r="R228" s="31">
        <v>1713504.09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f>ROUND(R228*1.5%,2)</f>
        <v>25702.560000000001</v>
      </c>
      <c r="AD228" s="31">
        <v>0</v>
      </c>
      <c r="AE228" s="31">
        <v>0</v>
      </c>
      <c r="AF228" s="34" t="s">
        <v>274</v>
      </c>
      <c r="AG228" s="34">
        <v>2020</v>
      </c>
      <c r="AH228" s="35">
        <v>2020</v>
      </c>
    </row>
    <row r="229" spans="1:34" ht="61.5" x14ac:dyDescent="0.85">
      <c r="A229" s="20">
        <v>1</v>
      </c>
      <c r="B229" s="66">
        <f>SUBTOTAL(103,$A$22:A229)</f>
        <v>205</v>
      </c>
      <c r="C229" s="24" t="s">
        <v>1241</v>
      </c>
      <c r="D229" s="31">
        <f t="shared" si="43"/>
        <v>4419889.76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3">
        <v>3</v>
      </c>
      <c r="L229" s="31">
        <v>4419889.76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  <c r="AC229" s="31">
        <v>0</v>
      </c>
      <c r="AD229" s="31">
        <v>0</v>
      </c>
      <c r="AE229" s="31">
        <v>0</v>
      </c>
      <c r="AF229" s="34" t="s">
        <v>274</v>
      </c>
      <c r="AG229" s="34">
        <v>2020</v>
      </c>
      <c r="AH229" s="35" t="s">
        <v>274</v>
      </c>
    </row>
    <row r="230" spans="1:34" ht="61.5" x14ac:dyDescent="0.85">
      <c r="A230" s="20">
        <v>1</v>
      </c>
      <c r="B230" s="66">
        <f>SUBTOTAL(103,$A$22:A230)</f>
        <v>206</v>
      </c>
      <c r="C230" s="24" t="s">
        <v>1242</v>
      </c>
      <c r="D230" s="31">
        <f t="shared" si="43"/>
        <v>2731365</v>
      </c>
      <c r="E230" s="31">
        <v>0</v>
      </c>
      <c r="F230" s="31">
        <v>0</v>
      </c>
      <c r="G230" s="31">
        <v>0</v>
      </c>
      <c r="H230" s="31">
        <v>0</v>
      </c>
      <c r="I230" s="31">
        <v>0</v>
      </c>
      <c r="J230" s="31">
        <v>0</v>
      </c>
      <c r="K230" s="33">
        <v>0</v>
      </c>
      <c r="L230" s="31">
        <v>0</v>
      </c>
      <c r="M230" s="31">
        <v>0</v>
      </c>
      <c r="N230" s="31">
        <v>0</v>
      </c>
      <c r="O230" s="31">
        <v>0</v>
      </c>
      <c r="P230" s="31">
        <v>0</v>
      </c>
      <c r="Q230" s="31">
        <v>519.4</v>
      </c>
      <c r="R230" s="31">
        <v>2691000</v>
      </c>
      <c r="S230" s="31">
        <v>0</v>
      </c>
      <c r="T230" s="31">
        <v>0</v>
      </c>
      <c r="U230" s="31">
        <v>0</v>
      </c>
      <c r="V230" s="31">
        <v>0</v>
      </c>
      <c r="W230" s="31">
        <v>0</v>
      </c>
      <c r="X230" s="31">
        <v>0</v>
      </c>
      <c r="Y230" s="31">
        <v>0</v>
      </c>
      <c r="Z230" s="31">
        <v>0</v>
      </c>
      <c r="AA230" s="31">
        <v>0</v>
      </c>
      <c r="AB230" s="31">
        <v>0</v>
      </c>
      <c r="AC230" s="31">
        <f t="shared" ref="AC230:AC231" si="50">ROUND(R230*1.5%,2)</f>
        <v>40365</v>
      </c>
      <c r="AD230" s="31">
        <v>0</v>
      </c>
      <c r="AE230" s="31">
        <v>0</v>
      </c>
      <c r="AF230" s="34" t="s">
        <v>274</v>
      </c>
      <c r="AG230" s="34">
        <v>2020</v>
      </c>
      <c r="AH230" s="35">
        <v>2020</v>
      </c>
    </row>
    <row r="231" spans="1:34" ht="61.5" x14ac:dyDescent="0.85">
      <c r="A231" s="20">
        <v>1</v>
      </c>
      <c r="B231" s="66">
        <f>SUBTOTAL(103,$A$22:A231)</f>
        <v>207</v>
      </c>
      <c r="C231" s="24" t="s">
        <v>1243</v>
      </c>
      <c r="D231" s="31">
        <f t="shared" si="43"/>
        <v>547671.99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3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150</v>
      </c>
      <c r="R231" s="31">
        <f>378423.93+62632.22</f>
        <v>441056.15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f t="shared" si="50"/>
        <v>6615.84</v>
      </c>
      <c r="AD231" s="31">
        <v>100000</v>
      </c>
      <c r="AE231" s="31">
        <v>0</v>
      </c>
      <c r="AF231" s="34">
        <v>2020</v>
      </c>
      <c r="AG231" s="34">
        <v>2020</v>
      </c>
      <c r="AH231" s="35">
        <v>2020</v>
      </c>
    </row>
    <row r="232" spans="1:34" ht="61.5" x14ac:dyDescent="0.85">
      <c r="A232" s="20">
        <v>1</v>
      </c>
      <c r="B232" s="66">
        <f>SUBTOTAL(103,$A$22:A232)</f>
        <v>208</v>
      </c>
      <c r="C232" s="24" t="s">
        <v>1244</v>
      </c>
      <c r="D232" s="31">
        <f t="shared" si="43"/>
        <v>7889085.5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3">
        <v>4</v>
      </c>
      <c r="L232" s="31">
        <v>7889085.5</v>
      </c>
      <c r="M232" s="31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v>0</v>
      </c>
      <c r="AD232" s="31">
        <v>0</v>
      </c>
      <c r="AE232" s="31">
        <v>0</v>
      </c>
      <c r="AF232" s="34" t="s">
        <v>274</v>
      </c>
      <c r="AG232" s="34">
        <v>2020</v>
      </c>
      <c r="AH232" s="35" t="s">
        <v>274</v>
      </c>
    </row>
    <row r="233" spans="1:34" ht="61.5" x14ac:dyDescent="0.85">
      <c r="A233" s="20">
        <v>1</v>
      </c>
      <c r="B233" s="66">
        <f>SUBTOTAL(103,$A$22:A233)</f>
        <v>209</v>
      </c>
      <c r="C233" s="24" t="s">
        <v>1350</v>
      </c>
      <c r="D233" s="31">
        <f t="shared" si="43"/>
        <v>6422564.7000000002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3">
        <v>0</v>
      </c>
      <c r="L233" s="31">
        <v>0</v>
      </c>
      <c r="M233" s="31">
        <v>1548.79</v>
      </c>
      <c r="N233" s="31">
        <f>6669512.32+1022599.21-1561505.91</f>
        <v>6130605.6200000001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f>ROUND(N233*1.5%,2)</f>
        <v>91959.08</v>
      </c>
      <c r="AD233" s="31">
        <v>200000</v>
      </c>
      <c r="AE233" s="31">
        <v>0</v>
      </c>
      <c r="AF233" s="34">
        <v>2020</v>
      </c>
      <c r="AG233" s="34">
        <v>2020</v>
      </c>
      <c r="AH233" s="35">
        <v>2020</v>
      </c>
    </row>
    <row r="234" spans="1:34" ht="61.5" x14ac:dyDescent="0.85">
      <c r="A234" s="20">
        <v>1</v>
      </c>
      <c r="B234" s="66">
        <f>SUBTOTAL(103,$A$22:A234)</f>
        <v>210</v>
      </c>
      <c r="C234" s="24" t="s">
        <v>1448</v>
      </c>
      <c r="D234" s="31">
        <f t="shared" si="43"/>
        <v>15276776.880000001</v>
      </c>
      <c r="E234" s="31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3">
        <v>9</v>
      </c>
      <c r="L234" s="31">
        <v>15276776.880000001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0</v>
      </c>
      <c r="AE234" s="31">
        <v>0</v>
      </c>
      <c r="AF234" s="34" t="s">
        <v>274</v>
      </c>
      <c r="AG234" s="34">
        <v>2020</v>
      </c>
      <c r="AH234" s="35" t="s">
        <v>274</v>
      </c>
    </row>
    <row r="235" spans="1:34" ht="61.5" x14ac:dyDescent="0.85">
      <c r="A235" s="20">
        <v>1</v>
      </c>
      <c r="B235" s="66">
        <f>SUBTOTAL(103,$A$22:A235)</f>
        <v>211</v>
      </c>
      <c r="C235" s="24" t="s">
        <v>1464</v>
      </c>
      <c r="D235" s="31">
        <f t="shared" si="43"/>
        <v>5917123.5099999998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3">
        <v>3</v>
      </c>
      <c r="L235" s="31">
        <v>5917123.5099999998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4" t="s">
        <v>274</v>
      </c>
      <c r="AG235" s="34">
        <v>2020</v>
      </c>
      <c r="AH235" s="35" t="s">
        <v>274</v>
      </c>
    </row>
    <row r="236" spans="1:34" ht="61.5" x14ac:dyDescent="0.85">
      <c r="A236" s="20">
        <v>1</v>
      </c>
      <c r="B236" s="66">
        <f>SUBTOTAL(103,$A$22:A236)</f>
        <v>212</v>
      </c>
      <c r="C236" s="24" t="s">
        <v>1465</v>
      </c>
      <c r="D236" s="31">
        <f t="shared" si="43"/>
        <v>7896847.4199999999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3">
        <v>4</v>
      </c>
      <c r="L236" s="31">
        <v>7896847.4199999999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0</v>
      </c>
      <c r="AF236" s="34" t="s">
        <v>274</v>
      </c>
      <c r="AG236" s="34">
        <v>2020</v>
      </c>
      <c r="AH236" s="35" t="s">
        <v>274</v>
      </c>
    </row>
    <row r="237" spans="1:34" ht="61.5" x14ac:dyDescent="0.85">
      <c r="A237" s="20">
        <v>1</v>
      </c>
      <c r="B237" s="66">
        <f>SUBTOTAL(103,$A$22:A237)</f>
        <v>213</v>
      </c>
      <c r="C237" s="24" t="s">
        <v>1466</v>
      </c>
      <c r="D237" s="31">
        <f t="shared" si="43"/>
        <v>5718113.29</v>
      </c>
      <c r="E237" s="31">
        <v>0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3">
        <v>3</v>
      </c>
      <c r="L237" s="31">
        <v>5718113.29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31">
        <v>0</v>
      </c>
      <c r="V237" s="31">
        <v>0</v>
      </c>
      <c r="W237" s="31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0</v>
      </c>
      <c r="AD237" s="31">
        <v>0</v>
      </c>
      <c r="AE237" s="31">
        <v>0</v>
      </c>
      <c r="AF237" s="34" t="s">
        <v>274</v>
      </c>
      <c r="AG237" s="34">
        <v>2020</v>
      </c>
      <c r="AH237" s="35" t="s">
        <v>274</v>
      </c>
    </row>
    <row r="238" spans="1:34" ht="61.5" x14ac:dyDescent="0.85">
      <c r="A238" s="20">
        <v>1</v>
      </c>
      <c r="B238" s="66">
        <f>SUBTOTAL(103,$A$22:A238)</f>
        <v>214</v>
      </c>
      <c r="C238" s="24" t="s">
        <v>1467</v>
      </c>
      <c r="D238" s="31">
        <f t="shared" si="43"/>
        <v>7415740.3399999999</v>
      </c>
      <c r="E238" s="31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0</v>
      </c>
      <c r="K238" s="33">
        <v>4</v>
      </c>
      <c r="L238" s="31">
        <v>7415740.3399999999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1">
        <v>0</v>
      </c>
      <c r="AF238" s="34" t="s">
        <v>274</v>
      </c>
      <c r="AG238" s="34">
        <v>2020</v>
      </c>
      <c r="AH238" s="35" t="s">
        <v>274</v>
      </c>
    </row>
    <row r="239" spans="1:34" ht="61.5" x14ac:dyDescent="0.85">
      <c r="A239" s="20">
        <v>1</v>
      </c>
      <c r="B239" s="66">
        <f>SUBTOTAL(103,$A$22:A239)</f>
        <v>215</v>
      </c>
      <c r="C239" s="24" t="s">
        <v>1468</v>
      </c>
      <c r="D239" s="31">
        <f t="shared" si="43"/>
        <v>5751152.0999999996</v>
      </c>
      <c r="E239" s="31">
        <v>0</v>
      </c>
      <c r="F239" s="31">
        <v>0</v>
      </c>
      <c r="G239" s="31">
        <v>0</v>
      </c>
      <c r="H239" s="31">
        <v>0</v>
      </c>
      <c r="I239" s="31">
        <v>0</v>
      </c>
      <c r="J239" s="31">
        <v>0</v>
      </c>
      <c r="K239" s="33">
        <v>3</v>
      </c>
      <c r="L239" s="31">
        <v>5751152.0999999996</v>
      </c>
      <c r="M239" s="31">
        <v>0</v>
      </c>
      <c r="N239" s="31">
        <v>0</v>
      </c>
      <c r="O239" s="31">
        <v>0</v>
      </c>
      <c r="P239" s="31">
        <v>0</v>
      </c>
      <c r="Q239" s="31">
        <v>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  <c r="AC239" s="31">
        <v>0</v>
      </c>
      <c r="AD239" s="31">
        <v>0</v>
      </c>
      <c r="AE239" s="31">
        <v>0</v>
      </c>
      <c r="AF239" s="34" t="s">
        <v>274</v>
      </c>
      <c r="AG239" s="34">
        <v>2020</v>
      </c>
      <c r="AH239" s="35" t="s">
        <v>274</v>
      </c>
    </row>
    <row r="240" spans="1:34" ht="61.5" x14ac:dyDescent="0.85">
      <c r="A240" s="20">
        <v>1</v>
      </c>
      <c r="B240" s="66">
        <f>SUBTOTAL(103,$A$22:A240)</f>
        <v>216</v>
      </c>
      <c r="C240" s="24" t="s">
        <v>1634</v>
      </c>
      <c r="D240" s="31">
        <f t="shared" si="43"/>
        <v>1473755.92</v>
      </c>
      <c r="E240" s="31">
        <v>0</v>
      </c>
      <c r="F240" s="31">
        <v>0</v>
      </c>
      <c r="G240" s="31">
        <v>0</v>
      </c>
      <c r="H240" s="31">
        <v>0</v>
      </c>
      <c r="I240" s="31">
        <v>0</v>
      </c>
      <c r="J240" s="31">
        <v>0</v>
      </c>
      <c r="K240" s="33">
        <v>1</v>
      </c>
      <c r="L240" s="31">
        <v>1473755.92</v>
      </c>
      <c r="M240" s="31">
        <v>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  <c r="AC240" s="31">
        <v>0</v>
      </c>
      <c r="AD240" s="31">
        <v>0</v>
      </c>
      <c r="AE240" s="31">
        <v>0</v>
      </c>
      <c r="AF240" s="34" t="s">
        <v>274</v>
      </c>
      <c r="AG240" s="34">
        <v>2020</v>
      </c>
      <c r="AH240" s="35" t="s">
        <v>274</v>
      </c>
    </row>
    <row r="241" spans="1:80" ht="61.5" x14ac:dyDescent="0.85">
      <c r="A241" s="20">
        <v>1</v>
      </c>
      <c r="B241" s="66">
        <f>SUBTOTAL(103,$A$22:A241)</f>
        <v>217</v>
      </c>
      <c r="C241" s="24" t="s">
        <v>1635</v>
      </c>
      <c r="D241" s="31">
        <f t="shared" si="43"/>
        <v>3944749.01</v>
      </c>
      <c r="E241" s="31">
        <v>0</v>
      </c>
      <c r="F241" s="31">
        <v>0</v>
      </c>
      <c r="G241" s="31">
        <v>0</v>
      </c>
      <c r="H241" s="31">
        <v>0</v>
      </c>
      <c r="I241" s="31">
        <v>0</v>
      </c>
      <c r="J241" s="31">
        <v>0</v>
      </c>
      <c r="K241" s="33">
        <v>2</v>
      </c>
      <c r="L241" s="31">
        <v>3944749.01</v>
      </c>
      <c r="M241" s="31">
        <v>0</v>
      </c>
      <c r="N241" s="31">
        <v>0</v>
      </c>
      <c r="O241" s="31">
        <v>0</v>
      </c>
      <c r="P241" s="31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1">
        <v>0</v>
      </c>
      <c r="AF241" s="34" t="s">
        <v>274</v>
      </c>
      <c r="AG241" s="34">
        <v>2020</v>
      </c>
      <c r="AH241" s="35" t="s">
        <v>274</v>
      </c>
    </row>
    <row r="242" spans="1:80" ht="61.5" x14ac:dyDescent="0.85">
      <c r="A242" s="20">
        <v>1</v>
      </c>
      <c r="B242" s="66">
        <f>SUBTOTAL(103,$A$22:A242)</f>
        <v>218</v>
      </c>
      <c r="C242" s="24" t="s">
        <v>1636</v>
      </c>
      <c r="D242" s="31">
        <f t="shared" si="43"/>
        <v>4419587</v>
      </c>
      <c r="E242" s="31">
        <v>0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3">
        <v>3</v>
      </c>
      <c r="L242" s="31">
        <v>4419587</v>
      </c>
      <c r="M242" s="31">
        <v>0</v>
      </c>
      <c r="N242" s="31">
        <v>0</v>
      </c>
      <c r="O242" s="31">
        <v>0</v>
      </c>
      <c r="P242" s="31">
        <v>0</v>
      </c>
      <c r="Q242" s="31">
        <v>0</v>
      </c>
      <c r="R242" s="31">
        <v>0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v>0</v>
      </c>
      <c r="Y242" s="31">
        <v>0</v>
      </c>
      <c r="Z242" s="31">
        <v>0</v>
      </c>
      <c r="AA242" s="31">
        <v>0</v>
      </c>
      <c r="AB242" s="31">
        <v>0</v>
      </c>
      <c r="AC242" s="31">
        <v>0</v>
      </c>
      <c r="AD242" s="31">
        <v>0</v>
      </c>
      <c r="AE242" s="31">
        <v>0</v>
      </c>
      <c r="AF242" s="34" t="s">
        <v>274</v>
      </c>
      <c r="AG242" s="34">
        <v>2020</v>
      </c>
      <c r="AH242" s="35" t="s">
        <v>274</v>
      </c>
    </row>
    <row r="243" spans="1:80" ht="61.5" x14ac:dyDescent="0.85">
      <c r="B243" s="24" t="s">
        <v>801</v>
      </c>
      <c r="C243" s="117"/>
      <c r="D243" s="31">
        <f>SUM(D244:D249)</f>
        <v>51784138.459999993</v>
      </c>
      <c r="E243" s="31">
        <f t="shared" ref="E243:AD243" si="51">SUM(E244:E249)</f>
        <v>1086183.55</v>
      </c>
      <c r="F243" s="31">
        <f t="shared" si="51"/>
        <v>2434351.71</v>
      </c>
      <c r="G243" s="31">
        <f t="shared" si="51"/>
        <v>6013370.9299999997</v>
      </c>
      <c r="H243" s="31">
        <f t="shared" si="51"/>
        <v>2064222.35</v>
      </c>
      <c r="I243" s="31">
        <f t="shared" si="51"/>
        <v>4507188.75</v>
      </c>
      <c r="J243" s="31">
        <f t="shared" si="51"/>
        <v>0</v>
      </c>
      <c r="K243" s="33">
        <f t="shared" si="51"/>
        <v>6</v>
      </c>
      <c r="L243" s="31">
        <f t="shared" si="51"/>
        <v>12071558.129999999</v>
      </c>
      <c r="M243" s="31">
        <f t="shared" si="51"/>
        <v>454.6</v>
      </c>
      <c r="N243" s="31">
        <f t="shared" si="51"/>
        <v>2571855.48</v>
      </c>
      <c r="O243" s="31">
        <f t="shared" si="51"/>
        <v>0</v>
      </c>
      <c r="P243" s="31">
        <f t="shared" si="51"/>
        <v>0</v>
      </c>
      <c r="Q243" s="31">
        <f t="shared" si="51"/>
        <v>11118.4</v>
      </c>
      <c r="R243" s="31">
        <f t="shared" si="51"/>
        <v>19936206.870000001</v>
      </c>
      <c r="S243" s="31">
        <f t="shared" si="51"/>
        <v>0</v>
      </c>
      <c r="T243" s="31">
        <f t="shared" si="51"/>
        <v>0</v>
      </c>
      <c r="U243" s="31">
        <f t="shared" si="51"/>
        <v>0</v>
      </c>
      <c r="V243" s="31">
        <f t="shared" si="51"/>
        <v>0</v>
      </c>
      <c r="W243" s="31">
        <f t="shared" si="51"/>
        <v>0</v>
      </c>
      <c r="X243" s="31">
        <f t="shared" si="51"/>
        <v>0</v>
      </c>
      <c r="Y243" s="31">
        <f t="shared" si="51"/>
        <v>0</v>
      </c>
      <c r="Z243" s="31">
        <f t="shared" si="51"/>
        <v>0</v>
      </c>
      <c r="AA243" s="31">
        <f t="shared" si="51"/>
        <v>0</v>
      </c>
      <c r="AB243" s="31">
        <f t="shared" si="51"/>
        <v>0</v>
      </c>
      <c r="AC243" s="31">
        <f t="shared" si="51"/>
        <v>579200.68999999994</v>
      </c>
      <c r="AD243" s="31">
        <f t="shared" si="51"/>
        <v>520000</v>
      </c>
      <c r="AE243" s="31">
        <f>SUM(AE244:AE249)</f>
        <v>0</v>
      </c>
      <c r="AF243" s="72" t="s">
        <v>794</v>
      </c>
      <c r="AG243" s="72" t="s">
        <v>794</v>
      </c>
      <c r="AH243" s="91" t="s">
        <v>794</v>
      </c>
      <c r="AT243" s="20" t="e">
        <f>VLOOKUP(C243,AW:AX,2,FALSE)</f>
        <v>#N/A</v>
      </c>
    </row>
    <row r="244" spans="1:80" ht="61.5" x14ac:dyDescent="0.85">
      <c r="A244" s="20">
        <v>1</v>
      </c>
      <c r="B244" s="66">
        <f>SUBTOTAL(103,$A$22:A244)</f>
        <v>219</v>
      </c>
      <c r="C244" s="24" t="s">
        <v>395</v>
      </c>
      <c r="D244" s="31">
        <f t="shared" ref="D244:D249" si="52">E244+F244+G244+H244+I244+J244+L244+N244+P244+R244+T244+U244+V244+W244+X244+Y244+Z244+AA244+AB244+AC244+AD244+AE244</f>
        <v>2730433.31</v>
      </c>
      <c r="E244" s="31">
        <v>0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3">
        <v>0</v>
      </c>
      <c r="L244" s="31">
        <v>0</v>
      </c>
      <c r="M244" s="31">
        <v>454.6</v>
      </c>
      <c r="N244" s="31">
        <f>1084694.27+1185704.64+301456.57</f>
        <v>2571855.48</v>
      </c>
      <c r="O244" s="31">
        <v>0</v>
      </c>
      <c r="P244" s="31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f>ROUND(N244*1.5%,2)</f>
        <v>38577.83</v>
      </c>
      <c r="AD244" s="31">
        <v>120000</v>
      </c>
      <c r="AE244" s="31">
        <v>0</v>
      </c>
      <c r="AF244" s="34">
        <v>2020</v>
      </c>
      <c r="AG244" s="34">
        <v>2020</v>
      </c>
      <c r="AH244" s="35">
        <v>2020</v>
      </c>
      <c r="AT244" s="20" t="e">
        <f>VLOOKUP(C244,AW:AX,2,FALSE)</f>
        <v>#N/A</v>
      </c>
    </row>
    <row r="245" spans="1:80" ht="61.5" x14ac:dyDescent="0.85">
      <c r="A245" s="20">
        <v>1</v>
      </c>
      <c r="B245" s="66">
        <f>SUBTOTAL(103,$A$22:A245)</f>
        <v>220</v>
      </c>
      <c r="C245" s="24" t="s">
        <v>396</v>
      </c>
      <c r="D245" s="31">
        <f t="shared" si="52"/>
        <v>6120000</v>
      </c>
      <c r="E245" s="31">
        <v>0</v>
      </c>
      <c r="F245" s="31">
        <v>0</v>
      </c>
      <c r="G245" s="31">
        <v>0</v>
      </c>
      <c r="H245" s="31">
        <v>0</v>
      </c>
      <c r="I245" s="31">
        <v>0</v>
      </c>
      <c r="J245" s="31">
        <v>0</v>
      </c>
      <c r="K245" s="33">
        <v>0</v>
      </c>
      <c r="L245" s="31">
        <v>0</v>
      </c>
      <c r="M245" s="31">
        <v>0</v>
      </c>
      <c r="N245" s="31">
        <v>0</v>
      </c>
      <c r="O245" s="31">
        <v>0</v>
      </c>
      <c r="P245" s="31">
        <v>0</v>
      </c>
      <c r="Q245" s="31">
        <v>2522.4</v>
      </c>
      <c r="R245" s="31">
        <v>5832512.3200000003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f t="shared" ref="AC245:AC246" si="53">ROUND(R245*1.5%,2)</f>
        <v>87487.679999999993</v>
      </c>
      <c r="AD245" s="31">
        <v>200000</v>
      </c>
      <c r="AE245" s="31">
        <v>0</v>
      </c>
      <c r="AF245" s="34">
        <v>2020</v>
      </c>
      <c r="AG245" s="34">
        <v>2020</v>
      </c>
      <c r="AH245" s="35">
        <v>2020</v>
      </c>
      <c r="AT245" s="20" t="e">
        <f>VLOOKUP(C245,AW:AX,2,FALSE)</f>
        <v>#N/A</v>
      </c>
    </row>
    <row r="246" spans="1:80" ht="61.5" x14ac:dyDescent="0.85">
      <c r="A246" s="20">
        <v>1</v>
      </c>
      <c r="B246" s="66">
        <f>SUBTOTAL(103,$A$22:A246)</f>
        <v>221</v>
      </c>
      <c r="C246" s="24" t="s">
        <v>397</v>
      </c>
      <c r="D246" s="31">
        <f t="shared" si="52"/>
        <v>14515249.970000001</v>
      </c>
      <c r="E246" s="31">
        <v>0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3">
        <v>0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8596</v>
      </c>
      <c r="R246" s="31">
        <v>14103694.550000001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f t="shared" si="53"/>
        <v>211555.42</v>
      </c>
      <c r="AD246" s="31">
        <v>200000</v>
      </c>
      <c r="AE246" s="31">
        <v>0</v>
      </c>
      <c r="AF246" s="34">
        <v>2020</v>
      </c>
      <c r="AG246" s="34">
        <v>2020</v>
      </c>
      <c r="AH246" s="35">
        <v>2020</v>
      </c>
      <c r="AT246" s="20" t="e">
        <f>VLOOKUP(C246,AW:AX,2,FALSE)</f>
        <v>#N/A</v>
      </c>
    </row>
    <row r="247" spans="1:80" ht="61.5" x14ac:dyDescent="0.85">
      <c r="A247" s="20">
        <v>1</v>
      </c>
      <c r="B247" s="66">
        <f>SUBTOTAL(103,$A$22:A247)</f>
        <v>222</v>
      </c>
      <c r="C247" s="24" t="s">
        <v>1245</v>
      </c>
      <c r="D247" s="31">
        <f t="shared" si="52"/>
        <v>16346897.049999999</v>
      </c>
      <c r="E247" s="31">
        <v>1086183.55</v>
      </c>
      <c r="F247" s="31">
        <v>2434351.71</v>
      </c>
      <c r="G247" s="31">
        <f>5505401.14+507969.79</f>
        <v>6013370.9299999997</v>
      </c>
      <c r="H247" s="31">
        <v>2064222.35</v>
      </c>
      <c r="I247" s="31">
        <v>4507188.75</v>
      </c>
      <c r="J247" s="31">
        <v>0</v>
      </c>
      <c r="K247" s="33">
        <v>0</v>
      </c>
      <c r="L247" s="31">
        <v>0</v>
      </c>
      <c r="M247" s="31">
        <v>0</v>
      </c>
      <c r="N247" s="31">
        <v>0</v>
      </c>
      <c r="O247" s="31">
        <v>0</v>
      </c>
      <c r="P247" s="31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  <c r="Z247" s="31">
        <v>0</v>
      </c>
      <c r="AA247" s="31">
        <v>0</v>
      </c>
      <c r="AB247" s="31">
        <v>0</v>
      </c>
      <c r="AC247" s="31">
        <f t="shared" ref="AC247" si="54">ROUND((E247+F247+G247+H247+I247+J247)*1.5%,2)</f>
        <v>241579.76</v>
      </c>
      <c r="AD247" s="31">
        <v>0</v>
      </c>
      <c r="AE247" s="31">
        <v>0</v>
      </c>
      <c r="AF247" s="34" t="s">
        <v>274</v>
      </c>
      <c r="AG247" s="34">
        <v>2020</v>
      </c>
      <c r="AH247" s="35">
        <v>2020</v>
      </c>
    </row>
    <row r="248" spans="1:80" ht="61.5" x14ac:dyDescent="0.85">
      <c r="A248" s="20">
        <v>1</v>
      </c>
      <c r="B248" s="66">
        <f>SUBTOTAL(103,$A$22:A248)</f>
        <v>223</v>
      </c>
      <c r="C248" s="24" t="s">
        <v>1246</v>
      </c>
      <c r="D248" s="31">
        <f t="shared" si="52"/>
        <v>3937920.29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3">
        <v>2</v>
      </c>
      <c r="L248" s="31">
        <v>3937920.29</v>
      </c>
      <c r="M248" s="31">
        <v>0</v>
      </c>
      <c r="N248" s="31">
        <v>0</v>
      </c>
      <c r="O248" s="31">
        <v>0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  <c r="Z248" s="31">
        <v>0</v>
      </c>
      <c r="AA248" s="31">
        <v>0</v>
      </c>
      <c r="AB248" s="31">
        <v>0</v>
      </c>
      <c r="AC248" s="31">
        <v>0</v>
      </c>
      <c r="AD248" s="31">
        <v>0</v>
      </c>
      <c r="AE248" s="31">
        <v>0</v>
      </c>
      <c r="AF248" s="34" t="s">
        <v>274</v>
      </c>
      <c r="AG248" s="34">
        <v>2020</v>
      </c>
      <c r="AH248" s="35" t="s">
        <v>274</v>
      </c>
    </row>
    <row r="249" spans="1:80" ht="61.5" x14ac:dyDescent="0.85">
      <c r="A249" s="20">
        <v>1</v>
      </c>
      <c r="B249" s="66">
        <f>SUBTOTAL(103,$A$22:A249)</f>
        <v>224</v>
      </c>
      <c r="C249" s="24" t="s">
        <v>1653</v>
      </c>
      <c r="D249" s="31">
        <f t="shared" si="52"/>
        <v>8133637.8399999989</v>
      </c>
      <c r="E249" s="31">
        <v>0</v>
      </c>
      <c r="F249" s="31">
        <v>0</v>
      </c>
      <c r="G249" s="31">
        <v>0</v>
      </c>
      <c r="H249" s="31">
        <v>0</v>
      </c>
      <c r="I249" s="31">
        <v>0</v>
      </c>
      <c r="J249" s="31">
        <v>0</v>
      </c>
      <c r="K249" s="33">
        <v>4</v>
      </c>
      <c r="L249" s="31">
        <v>8133637.8399999989</v>
      </c>
      <c r="M249" s="31">
        <v>0</v>
      </c>
      <c r="N249" s="31">
        <v>0</v>
      </c>
      <c r="O249" s="31">
        <v>0</v>
      </c>
      <c r="P249" s="31">
        <v>0</v>
      </c>
      <c r="Q249" s="31">
        <v>0</v>
      </c>
      <c r="R249" s="31">
        <v>0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v>0</v>
      </c>
      <c r="Y249" s="31">
        <v>0</v>
      </c>
      <c r="Z249" s="31">
        <v>0</v>
      </c>
      <c r="AA249" s="31">
        <v>0</v>
      </c>
      <c r="AB249" s="31">
        <v>0</v>
      </c>
      <c r="AC249" s="31">
        <v>0</v>
      </c>
      <c r="AD249" s="31">
        <v>0</v>
      </c>
      <c r="AE249" s="31">
        <v>0</v>
      </c>
      <c r="AF249" s="34" t="s">
        <v>274</v>
      </c>
      <c r="AG249" s="34">
        <v>2020</v>
      </c>
      <c r="AH249" s="35" t="s">
        <v>274</v>
      </c>
    </row>
    <row r="250" spans="1:80" ht="61.5" x14ac:dyDescent="0.85">
      <c r="B250" s="24" t="s">
        <v>858</v>
      </c>
      <c r="C250" s="117"/>
      <c r="D250" s="31">
        <f>SUM(D251:D278)</f>
        <v>113740245.04000002</v>
      </c>
      <c r="E250" s="31">
        <f t="shared" ref="E250:AE250" si="55">SUM(E251:E278)</f>
        <v>670630.80000000005</v>
      </c>
      <c r="F250" s="31">
        <f t="shared" si="55"/>
        <v>1236886.95</v>
      </c>
      <c r="G250" s="31">
        <f t="shared" si="55"/>
        <v>567639.41</v>
      </c>
      <c r="H250" s="31">
        <f t="shared" si="55"/>
        <v>804650.01</v>
      </c>
      <c r="I250" s="31">
        <f t="shared" si="55"/>
        <v>0</v>
      </c>
      <c r="J250" s="31">
        <f t="shared" si="55"/>
        <v>0</v>
      </c>
      <c r="K250" s="33">
        <f t="shared" si="55"/>
        <v>5</v>
      </c>
      <c r="L250" s="31">
        <f t="shared" si="55"/>
        <v>10876587.109999999</v>
      </c>
      <c r="M250" s="31">
        <f t="shared" si="55"/>
        <v>15193.72</v>
      </c>
      <c r="N250" s="31">
        <f t="shared" si="55"/>
        <v>69604755.700000018</v>
      </c>
      <c r="O250" s="31">
        <f t="shared" si="55"/>
        <v>0</v>
      </c>
      <c r="P250" s="31">
        <f t="shared" si="55"/>
        <v>0</v>
      </c>
      <c r="Q250" s="31">
        <f t="shared" si="55"/>
        <v>4657.3</v>
      </c>
      <c r="R250" s="31">
        <f t="shared" si="55"/>
        <v>19462193.149999999</v>
      </c>
      <c r="S250" s="31">
        <f t="shared" si="55"/>
        <v>128</v>
      </c>
      <c r="T250" s="31">
        <f t="shared" si="55"/>
        <v>1421419.39</v>
      </c>
      <c r="U250" s="31">
        <f t="shared" si="55"/>
        <v>5969062.7699999996</v>
      </c>
      <c r="V250" s="31">
        <f t="shared" si="55"/>
        <v>0</v>
      </c>
      <c r="W250" s="31">
        <f t="shared" si="55"/>
        <v>0</v>
      </c>
      <c r="X250" s="31">
        <f t="shared" si="55"/>
        <v>0</v>
      </c>
      <c r="Y250" s="31">
        <f t="shared" si="55"/>
        <v>0</v>
      </c>
      <c r="Z250" s="31">
        <f t="shared" si="55"/>
        <v>0</v>
      </c>
      <c r="AA250" s="31">
        <f t="shared" si="55"/>
        <v>0</v>
      </c>
      <c r="AB250" s="31">
        <f t="shared" si="55"/>
        <v>0</v>
      </c>
      <c r="AC250" s="31">
        <f t="shared" si="55"/>
        <v>1496058.5700000003</v>
      </c>
      <c r="AD250" s="31">
        <f t="shared" si="55"/>
        <v>1510361.18</v>
      </c>
      <c r="AE250" s="31">
        <f t="shared" si="55"/>
        <v>120000</v>
      </c>
      <c r="AF250" s="72" t="s">
        <v>794</v>
      </c>
      <c r="AG250" s="72" t="s">
        <v>794</v>
      </c>
      <c r="AH250" s="91" t="s">
        <v>794</v>
      </c>
      <c r="AT250" s="20" t="e">
        <f t="shared" ref="AT250:AT260" si="56">VLOOKUP(C250,AW:AX,2,FALSE)</f>
        <v>#N/A</v>
      </c>
      <c r="BZ250" s="31">
        <v>117591107.65000004</v>
      </c>
      <c r="CA250" s="31"/>
      <c r="CB250" s="31">
        <f>BZ250-D250</f>
        <v>3850862.6100000143</v>
      </c>
    </row>
    <row r="251" spans="1:80" ht="61.5" x14ac:dyDescent="0.85">
      <c r="A251" s="20">
        <v>1</v>
      </c>
      <c r="B251" s="66">
        <f>SUBTOTAL(103,$A$22:A251)</f>
        <v>225</v>
      </c>
      <c r="C251" s="24" t="s">
        <v>652</v>
      </c>
      <c r="D251" s="31">
        <f t="shared" ref="D251:D278" si="57">E251+F251+G251+H251+I251+J251+L251+N251+P251+R251+T251+U251+V251+W251+X251+Y251+Z251+AA251+AB251+AC251+AD251+AE251</f>
        <v>4514092.07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3">
        <v>2</v>
      </c>
      <c r="L251" s="31">
        <v>4514092.07</v>
      </c>
      <c r="M251" s="31">
        <v>0</v>
      </c>
      <c r="N251" s="31">
        <v>0</v>
      </c>
      <c r="O251" s="36">
        <v>0</v>
      </c>
      <c r="P251" s="36">
        <v>0</v>
      </c>
      <c r="Q251" s="36">
        <v>0</v>
      </c>
      <c r="R251" s="36">
        <v>0</v>
      </c>
      <c r="S251" s="31">
        <v>0</v>
      </c>
      <c r="T251" s="31">
        <v>0</v>
      </c>
      <c r="U251" s="31">
        <v>0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  <c r="AC251" s="31">
        <v>0</v>
      </c>
      <c r="AD251" s="31">
        <v>0</v>
      </c>
      <c r="AE251" s="31">
        <v>0</v>
      </c>
      <c r="AF251" s="34" t="s">
        <v>274</v>
      </c>
      <c r="AG251" s="34">
        <v>2020</v>
      </c>
      <c r="AH251" s="35" t="s">
        <v>274</v>
      </c>
      <c r="AT251" s="20" t="e">
        <f t="shared" si="56"/>
        <v>#N/A</v>
      </c>
    </row>
    <row r="252" spans="1:80" ht="61.5" x14ac:dyDescent="0.85">
      <c r="A252" s="20">
        <v>1</v>
      </c>
      <c r="B252" s="66">
        <f>SUBTOTAL(103,$A$22:A252)</f>
        <v>226</v>
      </c>
      <c r="C252" s="24" t="s">
        <v>657</v>
      </c>
      <c r="D252" s="31">
        <f t="shared" si="57"/>
        <v>6308598.71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3">
        <v>0</v>
      </c>
      <c r="L252" s="31">
        <v>0</v>
      </c>
      <c r="M252" s="31">
        <v>0</v>
      </c>
      <c r="N252" s="31">
        <v>0</v>
      </c>
      <c r="O252" s="36">
        <v>0</v>
      </c>
      <c r="P252" s="36">
        <v>0</v>
      </c>
      <c r="Q252" s="36">
        <v>0</v>
      </c>
      <c r="R252" s="36">
        <v>0</v>
      </c>
      <c r="S252" s="31">
        <v>0</v>
      </c>
      <c r="T252" s="31">
        <v>0</v>
      </c>
      <c r="U252" s="31">
        <v>5969062.7699999996</v>
      </c>
      <c r="V252" s="31">
        <v>0</v>
      </c>
      <c r="W252" s="31">
        <v>0</v>
      </c>
      <c r="X252" s="31">
        <v>0</v>
      </c>
      <c r="Y252" s="31">
        <v>0</v>
      </c>
      <c r="Z252" s="31">
        <v>0</v>
      </c>
      <c r="AA252" s="31">
        <v>0</v>
      </c>
      <c r="AB252" s="31">
        <v>0</v>
      </c>
      <c r="AC252" s="31">
        <f>ROUND(U252*1.5%,2)</f>
        <v>89535.94</v>
      </c>
      <c r="AD252" s="31">
        <v>250000</v>
      </c>
      <c r="AE252" s="31">
        <v>0</v>
      </c>
      <c r="AF252" s="34">
        <v>2020</v>
      </c>
      <c r="AG252" s="34">
        <v>2020</v>
      </c>
      <c r="AH252" s="35">
        <v>2020</v>
      </c>
      <c r="AT252" s="20" t="e">
        <f t="shared" si="56"/>
        <v>#N/A</v>
      </c>
    </row>
    <row r="253" spans="1:80" ht="61.5" x14ac:dyDescent="0.85">
      <c r="A253" s="20">
        <v>1</v>
      </c>
      <c r="B253" s="66">
        <f>SUBTOTAL(103,$A$22:A253)</f>
        <v>227</v>
      </c>
      <c r="C253" s="24" t="s">
        <v>658</v>
      </c>
      <c r="D253" s="31">
        <f t="shared" si="57"/>
        <v>13470892.08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3">
        <v>0</v>
      </c>
      <c r="L253" s="31">
        <v>0</v>
      </c>
      <c r="M253" s="31">
        <v>0</v>
      </c>
      <c r="N253" s="31">
        <v>0</v>
      </c>
      <c r="O253" s="36">
        <v>0</v>
      </c>
      <c r="P253" s="36">
        <v>0</v>
      </c>
      <c r="Q253" s="31">
        <v>1978</v>
      </c>
      <c r="R253" s="31">
        <v>13074770.52</v>
      </c>
      <c r="S253" s="31">
        <v>0</v>
      </c>
      <c r="T253" s="31">
        <v>0</v>
      </c>
      <c r="U253" s="31">
        <v>0</v>
      </c>
      <c r="V253" s="31">
        <v>0</v>
      </c>
      <c r="W253" s="31">
        <v>0</v>
      </c>
      <c r="X253" s="31">
        <v>0</v>
      </c>
      <c r="Y253" s="31">
        <v>0</v>
      </c>
      <c r="Z253" s="31">
        <v>0</v>
      </c>
      <c r="AA253" s="31">
        <v>0</v>
      </c>
      <c r="AB253" s="31">
        <v>0</v>
      </c>
      <c r="AC253" s="31">
        <f>ROUND(R253*1.5%,2)</f>
        <v>196121.56</v>
      </c>
      <c r="AD253" s="31">
        <v>200000</v>
      </c>
      <c r="AE253" s="31">
        <v>0</v>
      </c>
      <c r="AF253" s="34">
        <v>2020</v>
      </c>
      <c r="AG253" s="34">
        <v>2020</v>
      </c>
      <c r="AH253" s="35">
        <v>2020</v>
      </c>
      <c r="AT253" s="20" t="e">
        <f t="shared" si="56"/>
        <v>#N/A</v>
      </c>
    </row>
    <row r="254" spans="1:80" ht="61.5" x14ac:dyDescent="0.85">
      <c r="A254" s="20">
        <v>1</v>
      </c>
      <c r="B254" s="66">
        <f>SUBTOTAL(103,$A$22:A254)</f>
        <v>228</v>
      </c>
      <c r="C254" s="24" t="s">
        <v>661</v>
      </c>
      <c r="D254" s="31">
        <f t="shared" si="57"/>
        <v>4304343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3">
        <v>2</v>
      </c>
      <c r="L254" s="31">
        <v>4304343</v>
      </c>
      <c r="M254" s="31">
        <v>0</v>
      </c>
      <c r="N254" s="31">
        <v>0</v>
      </c>
      <c r="O254" s="36">
        <v>0</v>
      </c>
      <c r="P254" s="36">
        <v>0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v>0</v>
      </c>
      <c r="AD254" s="31">
        <v>0</v>
      </c>
      <c r="AE254" s="31">
        <v>0</v>
      </c>
      <c r="AF254" s="34" t="s">
        <v>274</v>
      </c>
      <c r="AG254" s="34">
        <v>2020</v>
      </c>
      <c r="AH254" s="35" t="s">
        <v>274</v>
      </c>
      <c r="AT254" s="20">
        <f t="shared" si="56"/>
        <v>1</v>
      </c>
    </row>
    <row r="255" spans="1:80" ht="61.5" x14ac:dyDescent="0.85">
      <c r="A255" s="20">
        <v>1</v>
      </c>
      <c r="B255" s="66">
        <f>SUBTOTAL(103,$A$22:A255)</f>
        <v>229</v>
      </c>
      <c r="C255" s="24" t="s">
        <v>663</v>
      </c>
      <c r="D255" s="31">
        <f t="shared" si="57"/>
        <v>2666187.4300000002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3">
        <v>0</v>
      </c>
      <c r="L255" s="31">
        <v>0</v>
      </c>
      <c r="M255" s="31">
        <v>498</v>
      </c>
      <c r="N255" s="31">
        <f>2443406.9+65152.14</f>
        <v>2508559.04</v>
      </c>
      <c r="O255" s="36">
        <v>0</v>
      </c>
      <c r="P255" s="36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f t="shared" ref="AC255:AC257" si="58">ROUND(N255*1.5%,2)</f>
        <v>37628.39</v>
      </c>
      <c r="AD255" s="31">
        <v>120000</v>
      </c>
      <c r="AE255" s="31">
        <v>0</v>
      </c>
      <c r="AF255" s="34">
        <v>2020</v>
      </c>
      <c r="AG255" s="34">
        <v>2020</v>
      </c>
      <c r="AH255" s="35">
        <v>2020</v>
      </c>
      <c r="AT255" s="20" t="e">
        <f t="shared" si="56"/>
        <v>#N/A</v>
      </c>
    </row>
    <row r="256" spans="1:80" ht="61.5" x14ac:dyDescent="0.85">
      <c r="A256" s="20">
        <v>1</v>
      </c>
      <c r="B256" s="66">
        <f>SUBTOTAL(103,$A$22:A256)</f>
        <v>230</v>
      </c>
      <c r="C256" s="24" t="s">
        <v>666</v>
      </c>
      <c r="D256" s="31">
        <f t="shared" si="57"/>
        <v>3587039.29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3">
        <v>0</v>
      </c>
      <c r="L256" s="31">
        <v>0</v>
      </c>
      <c r="M256" s="31">
        <v>670</v>
      </c>
      <c r="N256" s="31">
        <f>3298591.13+87654.48</f>
        <v>3386245.61</v>
      </c>
      <c r="O256" s="36">
        <v>0</v>
      </c>
      <c r="P256" s="36">
        <v>0</v>
      </c>
      <c r="Q256" s="31">
        <v>0</v>
      </c>
      <c r="R256" s="31">
        <v>0</v>
      </c>
      <c r="S256" s="31">
        <v>0</v>
      </c>
      <c r="T256" s="31">
        <v>0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f t="shared" si="58"/>
        <v>50793.68</v>
      </c>
      <c r="AD256" s="31">
        <v>150000</v>
      </c>
      <c r="AE256" s="31">
        <v>0</v>
      </c>
      <c r="AF256" s="34">
        <v>2020</v>
      </c>
      <c r="AG256" s="34">
        <v>2020</v>
      </c>
      <c r="AH256" s="35">
        <v>2020</v>
      </c>
      <c r="AT256" s="20" t="e">
        <f t="shared" si="56"/>
        <v>#N/A</v>
      </c>
    </row>
    <row r="257" spans="1:46" ht="61.5" x14ac:dyDescent="0.85">
      <c r="A257" s="20">
        <v>1</v>
      </c>
      <c r="B257" s="66">
        <f>SUBTOTAL(103,$A$22:A257)</f>
        <v>231</v>
      </c>
      <c r="C257" s="24" t="s">
        <v>667</v>
      </c>
      <c r="D257" s="31">
        <f t="shared" si="57"/>
        <v>2302129.7000000002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3">
        <v>0</v>
      </c>
      <c r="L257" s="31">
        <v>0</v>
      </c>
      <c r="M257" s="31">
        <v>430</v>
      </c>
      <c r="N257" s="31">
        <f>2093625.62+56255.86</f>
        <v>2149881.48</v>
      </c>
      <c r="O257" s="36">
        <v>0</v>
      </c>
      <c r="P257" s="36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f t="shared" si="58"/>
        <v>32248.22</v>
      </c>
      <c r="AD257" s="31">
        <v>120000</v>
      </c>
      <c r="AE257" s="31">
        <v>0</v>
      </c>
      <c r="AF257" s="34">
        <v>2020</v>
      </c>
      <c r="AG257" s="34">
        <v>2020</v>
      </c>
      <c r="AH257" s="35">
        <v>2020</v>
      </c>
      <c r="AT257" s="20" t="e">
        <f t="shared" si="56"/>
        <v>#N/A</v>
      </c>
    </row>
    <row r="258" spans="1:46" ht="61.5" x14ac:dyDescent="0.85">
      <c r="A258" s="20">
        <v>1</v>
      </c>
      <c r="B258" s="66">
        <f>SUBTOTAL(103,$A$22:A258)</f>
        <v>232</v>
      </c>
      <c r="C258" s="24" t="s">
        <v>668</v>
      </c>
      <c r="D258" s="31">
        <f t="shared" si="57"/>
        <v>2058152.04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3">
        <v>1</v>
      </c>
      <c r="L258" s="31">
        <v>2058152.04</v>
      </c>
      <c r="M258" s="31">
        <v>0</v>
      </c>
      <c r="N258" s="31">
        <v>0</v>
      </c>
      <c r="O258" s="36">
        <v>0</v>
      </c>
      <c r="P258" s="36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v>0</v>
      </c>
      <c r="AD258" s="31">
        <v>0</v>
      </c>
      <c r="AE258" s="31">
        <v>0</v>
      </c>
      <c r="AF258" s="34" t="s">
        <v>274</v>
      </c>
      <c r="AG258" s="34">
        <v>2020</v>
      </c>
      <c r="AH258" s="35" t="s">
        <v>274</v>
      </c>
      <c r="AT258" s="20" t="e">
        <f t="shared" si="56"/>
        <v>#N/A</v>
      </c>
    </row>
    <row r="259" spans="1:46" ht="61.5" x14ac:dyDescent="0.85">
      <c r="A259" s="20">
        <v>1</v>
      </c>
      <c r="B259" s="66">
        <f>SUBTOTAL(103,$A$22:A259)</f>
        <v>233</v>
      </c>
      <c r="C259" s="24" t="s">
        <v>670</v>
      </c>
      <c r="D259" s="31">
        <f t="shared" si="57"/>
        <v>1164909.6000000001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3">
        <v>0</v>
      </c>
      <c r="L259" s="31">
        <v>0</v>
      </c>
      <c r="M259" s="31">
        <v>240</v>
      </c>
      <c r="N259" s="31">
        <f>1116295.57-118226.6+31398.62</f>
        <v>1029467.5900000001</v>
      </c>
      <c r="O259" s="36">
        <v>0</v>
      </c>
      <c r="P259" s="36">
        <v>0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f t="shared" ref="AC259:AC262" si="59">ROUND(N259*1.5%,2)</f>
        <v>15442.01</v>
      </c>
      <c r="AD259" s="31">
        <v>120000</v>
      </c>
      <c r="AE259" s="31">
        <v>0</v>
      </c>
      <c r="AF259" s="34">
        <v>2020</v>
      </c>
      <c r="AG259" s="34">
        <v>2020</v>
      </c>
      <c r="AH259" s="35">
        <v>2020</v>
      </c>
      <c r="AT259" s="20" t="e">
        <f t="shared" si="56"/>
        <v>#N/A</v>
      </c>
    </row>
    <row r="260" spans="1:46" ht="61.5" x14ac:dyDescent="0.85">
      <c r="A260" s="20">
        <v>1</v>
      </c>
      <c r="B260" s="66">
        <f>SUBTOTAL(103,$A$22:A260)</f>
        <v>234</v>
      </c>
      <c r="C260" s="24" t="s">
        <v>674</v>
      </c>
      <c r="D260" s="31">
        <f t="shared" si="57"/>
        <v>2123712.11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3">
        <v>0</v>
      </c>
      <c r="L260" s="31">
        <v>0</v>
      </c>
      <c r="M260" s="31">
        <v>540.6</v>
      </c>
      <c r="N260" s="31">
        <v>2092327.2</v>
      </c>
      <c r="O260" s="36">
        <v>0</v>
      </c>
      <c r="P260" s="36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1">
        <v>0</v>
      </c>
      <c r="AA260" s="31">
        <v>0</v>
      </c>
      <c r="AB260" s="31">
        <v>0</v>
      </c>
      <c r="AC260" s="31">
        <f t="shared" si="59"/>
        <v>31384.91</v>
      </c>
      <c r="AD260" s="31">
        <v>0</v>
      </c>
      <c r="AE260" s="31">
        <v>0</v>
      </c>
      <c r="AF260" s="34" t="s">
        <v>274</v>
      </c>
      <c r="AG260" s="34">
        <v>2020</v>
      </c>
      <c r="AH260" s="35">
        <v>2020</v>
      </c>
      <c r="AT260" s="20" t="e">
        <f t="shared" si="56"/>
        <v>#N/A</v>
      </c>
    </row>
    <row r="261" spans="1:46" ht="61.5" x14ac:dyDescent="0.85">
      <c r="A261" s="20">
        <v>1</v>
      </c>
      <c r="B261" s="66">
        <f>SUBTOTAL(103,$A$22:A261)</f>
        <v>235</v>
      </c>
      <c r="C261" s="24" t="s">
        <v>1161</v>
      </c>
      <c r="D261" s="31">
        <f t="shared" si="57"/>
        <v>4819128.8400000008</v>
      </c>
      <c r="E261" s="31">
        <v>0</v>
      </c>
      <c r="F261" s="31">
        <v>0</v>
      </c>
      <c r="G261" s="31">
        <v>0</v>
      </c>
      <c r="H261" s="31">
        <v>0</v>
      </c>
      <c r="I261" s="31">
        <v>0</v>
      </c>
      <c r="J261" s="31">
        <v>0</v>
      </c>
      <c r="K261" s="33">
        <v>0</v>
      </c>
      <c r="L261" s="31">
        <v>0</v>
      </c>
      <c r="M261" s="31">
        <v>900</v>
      </c>
      <c r="N261" s="31">
        <f>4482384.24+117744.83-2.13</f>
        <v>4600126.9400000004</v>
      </c>
      <c r="O261" s="31">
        <v>0</v>
      </c>
      <c r="P261" s="31">
        <v>0</v>
      </c>
      <c r="Q261" s="31">
        <v>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  <c r="AC261" s="31">
        <f t="shared" si="59"/>
        <v>69001.899999999994</v>
      </c>
      <c r="AD261" s="31">
        <v>150000</v>
      </c>
      <c r="AE261" s="31">
        <v>0</v>
      </c>
      <c r="AF261" s="34">
        <v>2020</v>
      </c>
      <c r="AG261" s="34">
        <v>2020</v>
      </c>
      <c r="AH261" s="35">
        <v>2020</v>
      </c>
    </row>
    <row r="262" spans="1:46" ht="61.5" x14ac:dyDescent="0.85">
      <c r="A262" s="20">
        <v>1</v>
      </c>
      <c r="B262" s="66">
        <f>SUBTOTAL(103,$A$22:A262)</f>
        <v>236</v>
      </c>
      <c r="C262" s="24" t="s">
        <v>1247</v>
      </c>
      <c r="D262" s="31">
        <f t="shared" si="57"/>
        <v>1088632.3299999998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3">
        <v>0</v>
      </c>
      <c r="L262" s="31">
        <v>0</v>
      </c>
      <c r="M262" s="31">
        <v>540.5</v>
      </c>
      <c r="N262" s="31">
        <v>1072544.17</v>
      </c>
      <c r="O262" s="36">
        <v>0</v>
      </c>
      <c r="P262" s="36">
        <v>0</v>
      </c>
      <c r="Q262" s="31">
        <v>0</v>
      </c>
      <c r="R262" s="31">
        <v>0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  <c r="AC262" s="31">
        <f t="shared" si="59"/>
        <v>16088.16</v>
      </c>
      <c r="AD262" s="31">
        <v>0</v>
      </c>
      <c r="AE262" s="31">
        <v>0</v>
      </c>
      <c r="AF262" s="34" t="s">
        <v>274</v>
      </c>
      <c r="AG262" s="34">
        <v>2020</v>
      </c>
      <c r="AH262" s="35">
        <v>2020</v>
      </c>
    </row>
    <row r="263" spans="1:46" ht="61.5" x14ac:dyDescent="0.85">
      <c r="A263" s="20">
        <v>1</v>
      </c>
      <c r="B263" s="66">
        <f>SUBTOTAL(103,$A$22:A263)</f>
        <v>237</v>
      </c>
      <c r="C263" s="24" t="s">
        <v>1248</v>
      </c>
      <c r="D263" s="31">
        <f t="shared" si="57"/>
        <v>3426545.11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3">
        <v>0</v>
      </c>
      <c r="L263" s="31">
        <v>0</v>
      </c>
      <c r="M263" s="31">
        <v>563.86</v>
      </c>
      <c r="N263" s="31">
        <v>3299185.88</v>
      </c>
      <c r="O263" s="36">
        <v>0</v>
      </c>
      <c r="P263" s="36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31">
        <v>0</v>
      </c>
      <c r="AA263" s="31">
        <v>0</v>
      </c>
      <c r="AB263" s="31">
        <v>0</v>
      </c>
      <c r="AC263" s="31">
        <f t="shared" ref="AC263:AC264" si="60">ROUND(N263*1.5%,2)</f>
        <v>49487.79</v>
      </c>
      <c r="AD263" s="31">
        <v>77871.44</v>
      </c>
      <c r="AE263" s="31">
        <v>0</v>
      </c>
      <c r="AF263" s="34">
        <v>2020</v>
      </c>
      <c r="AG263" s="34">
        <v>2020</v>
      </c>
      <c r="AH263" s="35">
        <v>2020</v>
      </c>
    </row>
    <row r="264" spans="1:46" ht="61.5" x14ac:dyDescent="0.85">
      <c r="A264" s="20">
        <v>1</v>
      </c>
      <c r="B264" s="66">
        <f>SUBTOTAL(103,$A$22:A264)</f>
        <v>238</v>
      </c>
      <c r="C264" s="24" t="s">
        <v>1249</v>
      </c>
      <c r="D264" s="31">
        <f t="shared" si="57"/>
        <v>9352682.2400000002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3">
        <v>0</v>
      </c>
      <c r="L264" s="31">
        <v>0</v>
      </c>
      <c r="M264" s="31">
        <v>1650</v>
      </c>
      <c r="N264" s="31">
        <v>9214465.2599999998</v>
      </c>
      <c r="O264" s="36">
        <v>0</v>
      </c>
      <c r="P264" s="36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f t="shared" si="60"/>
        <v>138216.98000000001</v>
      </c>
      <c r="AD264" s="31">
        <v>0</v>
      </c>
      <c r="AE264" s="31">
        <v>0</v>
      </c>
      <c r="AF264" s="34" t="s">
        <v>274</v>
      </c>
      <c r="AG264" s="34">
        <v>2020</v>
      </c>
      <c r="AH264" s="35">
        <v>2020</v>
      </c>
    </row>
    <row r="265" spans="1:46" ht="61.5" x14ac:dyDescent="0.85">
      <c r="A265" s="20">
        <v>1</v>
      </c>
      <c r="B265" s="66">
        <f>SUBTOTAL(103,$A$22:A265)</f>
        <v>239</v>
      </c>
      <c r="C265" s="24" t="s">
        <v>1250</v>
      </c>
      <c r="D265" s="31">
        <f t="shared" si="57"/>
        <v>1815587.49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3">
        <v>0</v>
      </c>
      <c r="L265" s="31">
        <v>0</v>
      </c>
      <c r="M265" s="31">
        <v>0</v>
      </c>
      <c r="N265" s="31">
        <v>0</v>
      </c>
      <c r="O265" s="36">
        <v>0</v>
      </c>
      <c r="P265" s="36">
        <v>0</v>
      </c>
      <c r="Q265" s="31">
        <v>795.9</v>
      </c>
      <c r="R265" s="31">
        <v>1788756.15</v>
      </c>
      <c r="S265" s="31">
        <v>0</v>
      </c>
      <c r="T265" s="31">
        <v>0</v>
      </c>
      <c r="U265" s="31">
        <v>0</v>
      </c>
      <c r="V265" s="31">
        <v>0</v>
      </c>
      <c r="W265" s="31">
        <v>0</v>
      </c>
      <c r="X265" s="31">
        <v>0</v>
      </c>
      <c r="Y265" s="31">
        <v>0</v>
      </c>
      <c r="Z265" s="31">
        <v>0</v>
      </c>
      <c r="AA265" s="31">
        <v>0</v>
      </c>
      <c r="AB265" s="31">
        <v>0</v>
      </c>
      <c r="AC265" s="31">
        <f>ROUND(R265*1.5%,2)</f>
        <v>26831.34</v>
      </c>
      <c r="AD265" s="31">
        <v>0</v>
      </c>
      <c r="AE265" s="31">
        <v>0</v>
      </c>
      <c r="AF265" s="34" t="s">
        <v>274</v>
      </c>
      <c r="AG265" s="34">
        <v>2020</v>
      </c>
      <c r="AH265" s="35">
        <v>2020</v>
      </c>
    </row>
    <row r="266" spans="1:46" ht="61.5" x14ac:dyDescent="0.85">
      <c r="A266" s="20">
        <v>1</v>
      </c>
      <c r="B266" s="66">
        <f>SUBTOTAL(103,$A$22:A266)</f>
        <v>240</v>
      </c>
      <c r="C266" s="24" t="s">
        <v>1251</v>
      </c>
      <c r="D266" s="31">
        <f t="shared" si="57"/>
        <v>4245928.87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3">
        <v>0</v>
      </c>
      <c r="L266" s="31">
        <v>0</v>
      </c>
      <c r="M266" s="31">
        <v>1906.5</v>
      </c>
      <c r="N266" s="31">
        <v>4183181.15</v>
      </c>
      <c r="O266" s="36">
        <v>0</v>
      </c>
      <c r="P266" s="36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f>ROUND(N266*1.5%,2)</f>
        <v>62747.72</v>
      </c>
      <c r="AD266" s="31">
        <v>0</v>
      </c>
      <c r="AE266" s="31">
        <v>0</v>
      </c>
      <c r="AF266" s="34" t="s">
        <v>274</v>
      </c>
      <c r="AG266" s="34">
        <v>2020</v>
      </c>
      <c r="AH266" s="35">
        <v>2020</v>
      </c>
    </row>
    <row r="267" spans="1:46" ht="61.5" x14ac:dyDescent="0.85">
      <c r="A267" s="20">
        <v>1</v>
      </c>
      <c r="B267" s="66">
        <f>SUBTOTAL(103,$A$22:A267)</f>
        <v>241</v>
      </c>
      <c r="C267" s="24" t="s">
        <v>1252</v>
      </c>
      <c r="D267" s="31">
        <f t="shared" si="57"/>
        <v>4667646.4800000004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3">
        <v>0</v>
      </c>
      <c r="L267" s="31">
        <v>0</v>
      </c>
      <c r="M267" s="31">
        <v>0</v>
      </c>
      <c r="N267" s="31">
        <v>0</v>
      </c>
      <c r="O267" s="36">
        <v>0</v>
      </c>
      <c r="P267" s="36">
        <v>0</v>
      </c>
      <c r="Q267" s="31">
        <v>1883.4</v>
      </c>
      <c r="R267" s="31">
        <v>4598666.4800000004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  <c r="AC267" s="31">
        <f>ROUND(R267*1.5%,2)</f>
        <v>68980</v>
      </c>
      <c r="AD267" s="31">
        <v>0</v>
      </c>
      <c r="AE267" s="31">
        <v>0</v>
      </c>
      <c r="AF267" s="34" t="s">
        <v>274</v>
      </c>
      <c r="AG267" s="34">
        <v>2020</v>
      </c>
      <c r="AH267" s="35">
        <v>2020</v>
      </c>
    </row>
    <row r="268" spans="1:46" ht="61.5" x14ac:dyDescent="0.85">
      <c r="A268" s="20">
        <v>1</v>
      </c>
      <c r="B268" s="66">
        <f>SUBTOTAL(103,$A$22:A268)</f>
        <v>242</v>
      </c>
      <c r="C268" s="24" t="s">
        <v>1256</v>
      </c>
      <c r="D268" s="31">
        <f t="shared" si="57"/>
        <v>2596982.2399999998</v>
      </c>
      <c r="E268" s="36">
        <v>670630.80000000005</v>
      </c>
      <c r="F268" s="36">
        <v>1236886.95</v>
      </c>
      <c r="G268" s="36">
        <v>0</v>
      </c>
      <c r="H268" s="36">
        <v>651085.43999999994</v>
      </c>
      <c r="I268" s="36">
        <v>0</v>
      </c>
      <c r="J268" s="36">
        <v>0</v>
      </c>
      <c r="K268" s="33">
        <v>0</v>
      </c>
      <c r="L268" s="31">
        <v>0</v>
      </c>
      <c r="M268" s="31">
        <v>0</v>
      </c>
      <c r="N268" s="31">
        <v>0</v>
      </c>
      <c r="O268" s="36">
        <v>0</v>
      </c>
      <c r="P268" s="36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f>ROUND((E268+F268+G268+H268+I268+J268)*1.5%,2)</f>
        <v>38379.050000000003</v>
      </c>
      <c r="AD268" s="31">
        <v>0</v>
      </c>
      <c r="AE268" s="31">
        <v>0</v>
      </c>
      <c r="AF268" s="34" t="s">
        <v>274</v>
      </c>
      <c r="AG268" s="34">
        <v>2020</v>
      </c>
      <c r="AH268" s="35">
        <v>2020</v>
      </c>
    </row>
    <row r="269" spans="1:46" ht="61.5" x14ac:dyDescent="0.85">
      <c r="A269" s="20">
        <v>1</v>
      </c>
      <c r="B269" s="66">
        <f>SUBTOTAL(103,$A$22:A269)</f>
        <v>243</v>
      </c>
      <c r="C269" s="24" t="s">
        <v>1257</v>
      </c>
      <c r="D269" s="31">
        <f t="shared" si="57"/>
        <v>5481847.6600000001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3">
        <v>0</v>
      </c>
      <c r="L269" s="31">
        <v>0</v>
      </c>
      <c r="M269" s="31">
        <v>1310</v>
      </c>
      <c r="N269" s="31">
        <v>5400835.1299999999</v>
      </c>
      <c r="O269" s="36">
        <v>0</v>
      </c>
      <c r="P269" s="36">
        <v>0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f>ROUND(N269*1.5%,2)</f>
        <v>81012.53</v>
      </c>
      <c r="AD269" s="31">
        <v>0</v>
      </c>
      <c r="AE269" s="31">
        <v>0</v>
      </c>
      <c r="AF269" s="34" t="s">
        <v>274</v>
      </c>
      <c r="AG269" s="34">
        <v>2020</v>
      </c>
      <c r="AH269" s="35">
        <v>2020</v>
      </c>
    </row>
    <row r="270" spans="1:46" ht="61.5" x14ac:dyDescent="0.85">
      <c r="A270" s="20">
        <v>1</v>
      </c>
      <c r="B270" s="66">
        <f>SUBTOTAL(103,$A$22:A270)</f>
        <v>244</v>
      </c>
      <c r="C270" s="24" t="s">
        <v>1258</v>
      </c>
      <c r="D270" s="31">
        <f t="shared" si="57"/>
        <v>1562740.68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3">
        <v>0</v>
      </c>
      <c r="L270" s="31">
        <v>0</v>
      </c>
      <c r="M270" s="31">
        <v>0</v>
      </c>
      <c r="N270" s="31">
        <v>0</v>
      </c>
      <c r="O270" s="36">
        <v>0</v>
      </c>
      <c r="P270" s="36">
        <v>0</v>
      </c>
      <c r="Q270" s="31">
        <v>0</v>
      </c>
      <c r="R270" s="31">
        <v>0</v>
      </c>
      <c r="S270" s="31">
        <v>128</v>
      </c>
      <c r="T270" s="31">
        <v>1421419.39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  <c r="Z270" s="31">
        <v>0</v>
      </c>
      <c r="AA270" s="31">
        <v>0</v>
      </c>
      <c r="AB270" s="31">
        <v>0</v>
      </c>
      <c r="AC270" s="31">
        <f>ROUND(T270*1.5%,2)</f>
        <v>21321.29</v>
      </c>
      <c r="AD270" s="31">
        <v>0</v>
      </c>
      <c r="AE270" s="31">
        <v>120000</v>
      </c>
      <c r="AF270" s="34" t="s">
        <v>274</v>
      </c>
      <c r="AG270" s="34">
        <v>2020</v>
      </c>
      <c r="AH270" s="35">
        <v>2020</v>
      </c>
    </row>
    <row r="271" spans="1:46" ht="61.5" x14ac:dyDescent="0.85">
      <c r="A271" s="20">
        <v>1</v>
      </c>
      <c r="B271" s="66">
        <f>SUBTOTAL(103,$A$22:A271)</f>
        <v>245</v>
      </c>
      <c r="C271" s="24" t="s">
        <v>1259</v>
      </c>
      <c r="D271" s="31">
        <f t="shared" si="57"/>
        <v>3621850.1999999997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3">
        <v>0</v>
      </c>
      <c r="L271" s="31">
        <v>0</v>
      </c>
      <c r="M271" s="31">
        <v>781</v>
      </c>
      <c r="N271" s="31">
        <v>3568325.32</v>
      </c>
      <c r="O271" s="36">
        <v>0</v>
      </c>
      <c r="P271" s="36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  <c r="Z271" s="31">
        <v>0</v>
      </c>
      <c r="AA271" s="31">
        <v>0</v>
      </c>
      <c r="AB271" s="31">
        <v>0</v>
      </c>
      <c r="AC271" s="31">
        <f t="shared" ref="AC271:AC272" si="61">ROUND(N271*1.5%,2)</f>
        <v>53524.88</v>
      </c>
      <c r="AD271" s="31">
        <v>0</v>
      </c>
      <c r="AE271" s="31">
        <v>0</v>
      </c>
      <c r="AF271" s="34" t="s">
        <v>274</v>
      </c>
      <c r="AG271" s="34">
        <v>2020</v>
      </c>
      <c r="AH271" s="35">
        <v>2020</v>
      </c>
    </row>
    <row r="272" spans="1:46" ht="61.5" x14ac:dyDescent="0.85">
      <c r="A272" s="20">
        <v>1</v>
      </c>
      <c r="B272" s="66">
        <f>SUBTOTAL(103,$A$22:A272)</f>
        <v>246</v>
      </c>
      <c r="C272" s="24" t="s">
        <v>1260</v>
      </c>
      <c r="D272" s="31">
        <f t="shared" si="57"/>
        <v>7140948.1100000003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3">
        <v>0</v>
      </c>
      <c r="L272" s="31">
        <v>0</v>
      </c>
      <c r="M272" s="31">
        <v>1235.7</v>
      </c>
      <c r="N272" s="31">
        <v>7035416.8600000003</v>
      </c>
      <c r="O272" s="36">
        <v>0</v>
      </c>
      <c r="P272" s="36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f t="shared" si="61"/>
        <v>105531.25</v>
      </c>
      <c r="AD272" s="31">
        <v>0</v>
      </c>
      <c r="AE272" s="31">
        <v>0</v>
      </c>
      <c r="AF272" s="34" t="s">
        <v>274</v>
      </c>
      <c r="AG272" s="34">
        <v>2020</v>
      </c>
      <c r="AH272" s="35">
        <v>2020</v>
      </c>
    </row>
    <row r="273" spans="1:46" ht="61.5" x14ac:dyDescent="0.85">
      <c r="A273" s="20">
        <v>1</v>
      </c>
      <c r="B273" s="66">
        <f>SUBTOTAL(103,$A$22:A273)</f>
        <v>247</v>
      </c>
      <c r="C273" s="24" t="s">
        <v>1261</v>
      </c>
      <c r="D273" s="31">
        <f t="shared" si="57"/>
        <v>732022.04</v>
      </c>
      <c r="E273" s="36">
        <v>0</v>
      </c>
      <c r="F273" s="36">
        <v>0</v>
      </c>
      <c r="G273" s="36">
        <v>567639.41</v>
      </c>
      <c r="H273" s="36">
        <v>153564.57</v>
      </c>
      <c r="I273" s="36">
        <v>0</v>
      </c>
      <c r="J273" s="36">
        <v>0</v>
      </c>
      <c r="K273" s="33">
        <v>0</v>
      </c>
      <c r="L273" s="31">
        <v>0</v>
      </c>
      <c r="M273" s="31">
        <v>0</v>
      </c>
      <c r="N273" s="31">
        <v>0</v>
      </c>
      <c r="O273" s="36">
        <v>0</v>
      </c>
      <c r="P273" s="36">
        <v>0</v>
      </c>
      <c r="Q273" s="31">
        <v>0</v>
      </c>
      <c r="R273" s="31">
        <v>0</v>
      </c>
      <c r="S273" s="31">
        <v>0</v>
      </c>
      <c r="T273" s="31">
        <v>0</v>
      </c>
      <c r="U273" s="31">
        <v>0</v>
      </c>
      <c r="V273" s="31">
        <v>0</v>
      </c>
      <c r="W273" s="31">
        <v>0</v>
      </c>
      <c r="X273" s="31">
        <v>0</v>
      </c>
      <c r="Y273" s="31">
        <v>0</v>
      </c>
      <c r="Z273" s="31">
        <v>0</v>
      </c>
      <c r="AA273" s="31">
        <v>0</v>
      </c>
      <c r="AB273" s="31">
        <v>0</v>
      </c>
      <c r="AC273" s="31">
        <f>ROUND((E273+F273+G273+H273+I273+J273)*1.5%,2)</f>
        <v>10818.06</v>
      </c>
      <c r="AD273" s="31">
        <v>0</v>
      </c>
      <c r="AE273" s="31">
        <v>0</v>
      </c>
      <c r="AF273" s="34" t="s">
        <v>274</v>
      </c>
      <c r="AG273" s="34">
        <v>2020</v>
      </c>
      <c r="AH273" s="35">
        <v>2020</v>
      </c>
    </row>
    <row r="274" spans="1:46" ht="61.5" x14ac:dyDescent="0.85">
      <c r="A274" s="20">
        <v>1</v>
      </c>
      <c r="B274" s="66">
        <f>SUBTOTAL(103,$A$22:A274)</f>
        <v>248</v>
      </c>
      <c r="C274" s="24" t="s">
        <v>1262</v>
      </c>
      <c r="D274" s="31">
        <f t="shared" si="57"/>
        <v>5959799.2299999995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3">
        <v>0</v>
      </c>
      <c r="L274" s="31">
        <v>0</v>
      </c>
      <c r="M274" s="31">
        <v>1353.41</v>
      </c>
      <c r="N274" s="31">
        <v>5871723.3799999999</v>
      </c>
      <c r="O274" s="36">
        <v>0</v>
      </c>
      <c r="P274" s="36">
        <v>0</v>
      </c>
      <c r="Q274" s="31">
        <v>0</v>
      </c>
      <c r="R274" s="31">
        <v>0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f t="shared" ref="AC274:AC276" si="62">ROUND(N274*1.5%,2)</f>
        <v>88075.85</v>
      </c>
      <c r="AD274" s="31">
        <v>0</v>
      </c>
      <c r="AE274" s="31">
        <v>0</v>
      </c>
      <c r="AF274" s="34" t="s">
        <v>274</v>
      </c>
      <c r="AG274" s="34">
        <v>2020</v>
      </c>
      <c r="AH274" s="35">
        <v>2020</v>
      </c>
    </row>
    <row r="275" spans="1:46" ht="61.5" x14ac:dyDescent="0.85">
      <c r="A275" s="20">
        <v>1</v>
      </c>
      <c r="B275" s="66">
        <f>SUBTOTAL(103,$A$22:A275)</f>
        <v>249</v>
      </c>
      <c r="C275" s="24" t="s">
        <v>1263</v>
      </c>
      <c r="D275" s="31">
        <f t="shared" si="57"/>
        <v>3061127.77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3">
        <v>0</v>
      </c>
      <c r="L275" s="31">
        <v>0</v>
      </c>
      <c r="M275" s="31">
        <v>600</v>
      </c>
      <c r="N275" s="31">
        <v>3015889.43</v>
      </c>
      <c r="O275" s="36">
        <v>0</v>
      </c>
      <c r="P275" s="36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  <c r="Z275" s="31">
        <v>0</v>
      </c>
      <c r="AA275" s="31">
        <v>0</v>
      </c>
      <c r="AB275" s="31">
        <v>0</v>
      </c>
      <c r="AC275" s="31">
        <f t="shared" si="62"/>
        <v>45238.34</v>
      </c>
      <c r="AD275" s="31">
        <v>0</v>
      </c>
      <c r="AE275" s="31">
        <v>0</v>
      </c>
      <c r="AF275" s="34" t="s">
        <v>274</v>
      </c>
      <c r="AG275" s="34">
        <v>2020</v>
      </c>
      <c r="AH275" s="35">
        <v>2020</v>
      </c>
    </row>
    <row r="276" spans="1:46" ht="61.5" x14ac:dyDescent="0.85">
      <c r="A276" s="20">
        <v>1</v>
      </c>
      <c r="B276" s="66">
        <f>SUBTOTAL(103,$A$22:A276)</f>
        <v>250</v>
      </c>
      <c r="C276" s="24" t="s">
        <v>1430</v>
      </c>
      <c r="D276" s="31">
        <f t="shared" si="57"/>
        <v>2430415.2200000002</v>
      </c>
      <c r="E276" s="31">
        <v>0</v>
      </c>
      <c r="F276" s="31">
        <v>0</v>
      </c>
      <c r="G276" s="31">
        <v>0</v>
      </c>
      <c r="H276" s="31">
        <v>0</v>
      </c>
      <c r="I276" s="31">
        <v>0</v>
      </c>
      <c r="J276" s="31">
        <v>0</v>
      </c>
      <c r="K276" s="33">
        <v>0</v>
      </c>
      <c r="L276" s="31">
        <v>0</v>
      </c>
      <c r="M276" s="31">
        <v>439.23</v>
      </c>
      <c r="N276" s="31">
        <v>2334221.9500000002</v>
      </c>
      <c r="O276" s="31">
        <v>0</v>
      </c>
      <c r="P276" s="31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  <c r="Z276" s="31">
        <v>0</v>
      </c>
      <c r="AA276" s="31">
        <v>0</v>
      </c>
      <c r="AB276" s="31">
        <v>0</v>
      </c>
      <c r="AC276" s="31">
        <f t="shared" si="62"/>
        <v>35013.33</v>
      </c>
      <c r="AD276" s="31">
        <v>61179.94</v>
      </c>
      <c r="AE276" s="31">
        <v>0</v>
      </c>
      <c r="AF276" s="34">
        <v>2020</v>
      </c>
      <c r="AG276" s="34">
        <v>2020</v>
      </c>
      <c r="AH276" s="35">
        <v>2020</v>
      </c>
    </row>
    <row r="277" spans="1:46" ht="61.5" x14ac:dyDescent="0.85">
      <c r="A277" s="20">
        <v>1</v>
      </c>
      <c r="B277" s="66">
        <f>SUBTOTAL(103,$A$22:A277)</f>
        <v>251</v>
      </c>
      <c r="C277" s="24" t="s">
        <v>1429</v>
      </c>
      <c r="D277" s="31">
        <f t="shared" si="57"/>
        <v>2887064.55</v>
      </c>
      <c r="E277" s="31">
        <v>0</v>
      </c>
      <c r="F277" s="31">
        <v>0</v>
      </c>
      <c r="G277" s="31">
        <v>0</v>
      </c>
      <c r="H277" s="31">
        <v>0</v>
      </c>
      <c r="I277" s="31">
        <v>0</v>
      </c>
      <c r="J277" s="31">
        <v>0</v>
      </c>
      <c r="K277" s="33">
        <v>0</v>
      </c>
      <c r="L277" s="31">
        <v>0</v>
      </c>
      <c r="M277" s="31">
        <v>524.41999999999996</v>
      </c>
      <c r="N277" s="31">
        <f>2786951.43-0.94</f>
        <v>2786950.49</v>
      </c>
      <c r="O277" s="31">
        <v>0</v>
      </c>
      <c r="P277" s="31">
        <v>0</v>
      </c>
      <c r="Q277" s="31">
        <v>0</v>
      </c>
      <c r="R277" s="31">
        <v>0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  <c r="Z277" s="31">
        <v>0</v>
      </c>
      <c r="AA277" s="31">
        <v>0</v>
      </c>
      <c r="AB277" s="31">
        <v>0</v>
      </c>
      <c r="AC277" s="31">
        <f t="shared" ref="AC277" si="63">ROUND(N277*1.5%,2)</f>
        <v>41804.26</v>
      </c>
      <c r="AD277" s="31">
        <v>58309.8</v>
      </c>
      <c r="AE277" s="31">
        <v>0</v>
      </c>
      <c r="AF277" s="34">
        <v>2020</v>
      </c>
      <c r="AG277" s="34">
        <v>2020</v>
      </c>
      <c r="AH277" s="35">
        <v>2020</v>
      </c>
    </row>
    <row r="278" spans="1:46" ht="61.5" x14ac:dyDescent="0.85">
      <c r="A278" s="20">
        <v>1</v>
      </c>
      <c r="B278" s="66">
        <f>SUBTOTAL(103,$A$22:A278)</f>
        <v>252</v>
      </c>
      <c r="C278" s="24" t="s">
        <v>1654</v>
      </c>
      <c r="D278" s="31">
        <f t="shared" si="57"/>
        <v>6349239.9500000002</v>
      </c>
      <c r="E278" s="31">
        <v>0</v>
      </c>
      <c r="F278" s="31">
        <v>0</v>
      </c>
      <c r="G278" s="31">
        <v>0</v>
      </c>
      <c r="H278" s="31">
        <v>0</v>
      </c>
      <c r="I278" s="31">
        <v>0</v>
      </c>
      <c r="J278" s="31">
        <v>0</v>
      </c>
      <c r="K278" s="33">
        <v>0</v>
      </c>
      <c r="L278" s="31">
        <v>0</v>
      </c>
      <c r="M278" s="31">
        <v>1010.5</v>
      </c>
      <c r="N278" s="31">
        <v>6055408.8200000003</v>
      </c>
      <c r="O278" s="31">
        <v>0</v>
      </c>
      <c r="P278" s="31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  <c r="AC278" s="31">
        <f>ROUND(N278*1.5%,2)</f>
        <v>90831.13</v>
      </c>
      <c r="AD278" s="31">
        <v>203000</v>
      </c>
      <c r="AE278" s="31">
        <v>0</v>
      </c>
      <c r="AF278" s="34">
        <v>2020</v>
      </c>
      <c r="AG278" s="34">
        <v>2020</v>
      </c>
      <c r="AH278" s="35">
        <v>2020</v>
      </c>
    </row>
    <row r="279" spans="1:46" ht="61.5" x14ac:dyDescent="0.85">
      <c r="B279" s="24" t="s">
        <v>859</v>
      </c>
      <c r="C279" s="24"/>
      <c r="D279" s="31">
        <f>SUM(D280:D286)</f>
        <v>31393292.599999998</v>
      </c>
      <c r="E279" s="31">
        <f t="shared" ref="E279:AE279" si="64">SUM(E280:E286)</f>
        <v>145980.06</v>
      </c>
      <c r="F279" s="31">
        <f t="shared" si="64"/>
        <v>431178.77</v>
      </c>
      <c r="G279" s="31">
        <f t="shared" si="64"/>
        <v>2599107.0700000003</v>
      </c>
      <c r="H279" s="31">
        <f t="shared" si="64"/>
        <v>270735.94</v>
      </c>
      <c r="I279" s="31">
        <f t="shared" si="64"/>
        <v>0</v>
      </c>
      <c r="J279" s="31">
        <f t="shared" si="64"/>
        <v>0</v>
      </c>
      <c r="K279" s="33">
        <f t="shared" si="64"/>
        <v>0</v>
      </c>
      <c r="L279" s="31">
        <f t="shared" si="64"/>
        <v>0</v>
      </c>
      <c r="M279" s="31">
        <f t="shared" si="64"/>
        <v>6904.4100000000008</v>
      </c>
      <c r="N279" s="31">
        <f t="shared" si="64"/>
        <v>27141002.390000001</v>
      </c>
      <c r="O279" s="31">
        <f t="shared" si="64"/>
        <v>0</v>
      </c>
      <c r="P279" s="31">
        <f t="shared" si="64"/>
        <v>0</v>
      </c>
      <c r="Q279" s="31">
        <f t="shared" si="64"/>
        <v>0</v>
      </c>
      <c r="R279" s="31">
        <f t="shared" si="64"/>
        <v>0</v>
      </c>
      <c r="S279" s="31">
        <f t="shared" si="64"/>
        <v>0</v>
      </c>
      <c r="T279" s="31">
        <f t="shared" si="64"/>
        <v>0</v>
      </c>
      <c r="U279" s="31">
        <f t="shared" si="64"/>
        <v>0</v>
      </c>
      <c r="V279" s="31">
        <f t="shared" si="64"/>
        <v>0</v>
      </c>
      <c r="W279" s="31">
        <f t="shared" si="64"/>
        <v>0</v>
      </c>
      <c r="X279" s="31">
        <f t="shared" si="64"/>
        <v>0</v>
      </c>
      <c r="Y279" s="31">
        <f t="shared" si="64"/>
        <v>0</v>
      </c>
      <c r="Z279" s="31">
        <f t="shared" si="64"/>
        <v>0</v>
      </c>
      <c r="AA279" s="31">
        <f t="shared" si="64"/>
        <v>0</v>
      </c>
      <c r="AB279" s="31">
        <f t="shared" si="64"/>
        <v>0</v>
      </c>
      <c r="AC279" s="31">
        <f t="shared" si="64"/>
        <v>458820.06</v>
      </c>
      <c r="AD279" s="31">
        <f t="shared" si="64"/>
        <v>346468.31</v>
      </c>
      <c r="AE279" s="31">
        <f t="shared" si="64"/>
        <v>0</v>
      </c>
      <c r="AF279" s="72" t="s">
        <v>794</v>
      </c>
      <c r="AG279" s="72" t="s">
        <v>794</v>
      </c>
      <c r="AH279" s="91" t="s">
        <v>794</v>
      </c>
      <c r="AT279" s="20" t="e">
        <f>VLOOKUP(C279,AW:AX,2,FALSE)</f>
        <v>#N/A</v>
      </c>
    </row>
    <row r="280" spans="1:46" ht="61.5" x14ac:dyDescent="0.85">
      <c r="A280" s="20">
        <v>1</v>
      </c>
      <c r="B280" s="66">
        <f>SUBTOTAL(103,$A$22:A280)</f>
        <v>253</v>
      </c>
      <c r="C280" s="24" t="s">
        <v>675</v>
      </c>
      <c r="D280" s="31">
        <f t="shared" ref="D280:D286" si="65">E280+F280+G280+H280+I280+J280+L280+N280+P280+R280+T280+U280+V280+W280+X280+Y280+Z280+AA280+AB280+AC280+AD280+AE280</f>
        <v>7597136.8899999997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3">
        <v>0</v>
      </c>
      <c r="L280" s="31">
        <v>0</v>
      </c>
      <c r="M280" s="31">
        <v>1399.31</v>
      </c>
      <c r="N280" s="31">
        <f>6710298.29+600000</f>
        <v>7310298.29</v>
      </c>
      <c r="O280" s="36">
        <v>0</v>
      </c>
      <c r="P280" s="36">
        <v>0</v>
      </c>
      <c r="Q280" s="31">
        <v>0</v>
      </c>
      <c r="R280" s="31">
        <v>0</v>
      </c>
      <c r="S280" s="31">
        <v>0</v>
      </c>
      <c r="T280" s="31">
        <v>0</v>
      </c>
      <c r="U280" s="31">
        <v>0</v>
      </c>
      <c r="V280" s="31">
        <v>0</v>
      </c>
      <c r="W280" s="31">
        <v>0</v>
      </c>
      <c r="X280" s="31">
        <v>0</v>
      </c>
      <c r="Y280" s="31">
        <v>0</v>
      </c>
      <c r="Z280" s="31">
        <v>0</v>
      </c>
      <c r="AA280" s="31">
        <v>0</v>
      </c>
      <c r="AB280" s="31">
        <v>0</v>
      </c>
      <c r="AC280" s="31">
        <f t="shared" ref="AC280:AC282" si="66">ROUND(N280*1.5%,2)</f>
        <v>109654.47</v>
      </c>
      <c r="AD280" s="31">
        <v>177184.13</v>
      </c>
      <c r="AE280" s="31">
        <v>0</v>
      </c>
      <c r="AF280" s="34">
        <v>2020</v>
      </c>
      <c r="AG280" s="34">
        <v>2020</v>
      </c>
      <c r="AH280" s="35">
        <v>2020</v>
      </c>
      <c r="AT280" s="20" t="e">
        <f>VLOOKUP(C280,AW:AX,2,FALSE)</f>
        <v>#N/A</v>
      </c>
    </row>
    <row r="281" spans="1:46" ht="61.5" x14ac:dyDescent="0.85">
      <c r="A281" s="20">
        <v>1</v>
      </c>
      <c r="B281" s="66">
        <f>SUBTOTAL(103,$A$22:A281)</f>
        <v>254</v>
      </c>
      <c r="C281" s="24" t="s">
        <v>681</v>
      </c>
      <c r="D281" s="31">
        <f t="shared" si="65"/>
        <v>6332587.8299999991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3">
        <v>0</v>
      </c>
      <c r="L281" s="31">
        <v>0</v>
      </c>
      <c r="M281" s="31">
        <v>1122.5</v>
      </c>
      <c r="N281" s="31">
        <f>5347793.1+724427.24</f>
        <v>6072220.3399999999</v>
      </c>
      <c r="O281" s="36">
        <v>0</v>
      </c>
      <c r="P281" s="36">
        <v>0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f t="shared" si="66"/>
        <v>91083.31</v>
      </c>
      <c r="AD281" s="31">
        <v>169284.18</v>
      </c>
      <c r="AE281" s="31">
        <v>0</v>
      </c>
      <c r="AF281" s="34">
        <v>2020</v>
      </c>
      <c r="AG281" s="34">
        <v>2020</v>
      </c>
      <c r="AH281" s="35">
        <v>2020</v>
      </c>
      <c r="AT281" s="20" t="e">
        <f>VLOOKUP(C281,AW:AX,2,FALSE)</f>
        <v>#N/A</v>
      </c>
    </row>
    <row r="282" spans="1:46" ht="61.5" x14ac:dyDescent="0.85">
      <c r="A282" s="20">
        <v>1</v>
      </c>
      <c r="B282" s="66">
        <f>SUBTOTAL(103,$A$22:A282)</f>
        <v>255</v>
      </c>
      <c r="C282" s="24" t="s">
        <v>1264</v>
      </c>
      <c r="D282" s="31">
        <f t="shared" si="65"/>
        <v>5003194.3900000006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3">
        <v>0</v>
      </c>
      <c r="L282" s="31">
        <v>0</v>
      </c>
      <c r="M282" s="31">
        <v>2048.4</v>
      </c>
      <c r="N282" s="31">
        <v>4929255.5600000005</v>
      </c>
      <c r="O282" s="36">
        <v>0</v>
      </c>
      <c r="P282" s="36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1">
        <v>0</v>
      </c>
      <c r="AA282" s="31">
        <v>0</v>
      </c>
      <c r="AB282" s="31">
        <v>0</v>
      </c>
      <c r="AC282" s="31">
        <f t="shared" si="66"/>
        <v>73938.83</v>
      </c>
      <c r="AD282" s="31">
        <v>0</v>
      </c>
      <c r="AE282" s="31">
        <v>0</v>
      </c>
      <c r="AF282" s="34" t="s">
        <v>274</v>
      </c>
      <c r="AG282" s="34">
        <v>2020</v>
      </c>
      <c r="AH282" s="35">
        <v>2020</v>
      </c>
    </row>
    <row r="283" spans="1:46" ht="61.5" x14ac:dyDescent="0.85">
      <c r="A283" s="20">
        <v>1</v>
      </c>
      <c r="B283" s="66">
        <f>SUBTOTAL(103,$A$22:A283)</f>
        <v>256</v>
      </c>
      <c r="C283" s="24" t="s">
        <v>1265</v>
      </c>
      <c r="D283" s="31">
        <f t="shared" si="65"/>
        <v>3498706.87</v>
      </c>
      <c r="E283" s="36">
        <v>145980.06</v>
      </c>
      <c r="F283" s="36">
        <v>431178.77</v>
      </c>
      <c r="G283" s="36">
        <v>2599107.0700000003</v>
      </c>
      <c r="H283" s="36">
        <v>270735.94</v>
      </c>
      <c r="I283" s="36">
        <v>0</v>
      </c>
      <c r="J283" s="36">
        <v>0</v>
      </c>
      <c r="K283" s="33">
        <v>0</v>
      </c>
      <c r="L283" s="31">
        <v>0</v>
      </c>
      <c r="M283" s="31">
        <v>0</v>
      </c>
      <c r="N283" s="31">
        <v>0</v>
      </c>
      <c r="O283" s="36">
        <v>0</v>
      </c>
      <c r="P283" s="36">
        <v>0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0</v>
      </c>
      <c r="AC283" s="31">
        <f>ROUND((E283+F283+G283+H283+I283+J283)*1.5%,2)</f>
        <v>51705.03</v>
      </c>
      <c r="AD283" s="31">
        <v>0</v>
      </c>
      <c r="AE283" s="31">
        <v>0</v>
      </c>
      <c r="AF283" s="34" t="s">
        <v>274</v>
      </c>
      <c r="AG283" s="34">
        <v>2020</v>
      </c>
      <c r="AH283" s="35">
        <v>2020</v>
      </c>
    </row>
    <row r="284" spans="1:46" ht="61.5" x14ac:dyDescent="0.85">
      <c r="A284" s="20">
        <v>1</v>
      </c>
      <c r="B284" s="66">
        <f>SUBTOTAL(103,$A$22:A284)</f>
        <v>257</v>
      </c>
      <c r="C284" s="24" t="s">
        <v>1266</v>
      </c>
      <c r="D284" s="31">
        <f t="shared" si="65"/>
        <v>1670690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3">
        <v>0</v>
      </c>
      <c r="L284" s="31">
        <v>0</v>
      </c>
      <c r="M284" s="31">
        <v>452.1</v>
      </c>
      <c r="N284" s="31">
        <v>1646000</v>
      </c>
      <c r="O284" s="36">
        <v>0</v>
      </c>
      <c r="P284" s="36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  <c r="Z284" s="31">
        <v>0</v>
      </c>
      <c r="AA284" s="31">
        <v>0</v>
      </c>
      <c r="AB284" s="31">
        <v>0</v>
      </c>
      <c r="AC284" s="31">
        <f t="shared" ref="AC284:AC286" si="67">ROUND(N284*1.5%,2)</f>
        <v>24690</v>
      </c>
      <c r="AD284" s="31">
        <v>0</v>
      </c>
      <c r="AE284" s="31">
        <v>0</v>
      </c>
      <c r="AF284" s="34" t="s">
        <v>274</v>
      </c>
      <c r="AG284" s="34">
        <v>2020</v>
      </c>
      <c r="AH284" s="35">
        <v>2020</v>
      </c>
    </row>
    <row r="285" spans="1:46" ht="61.5" x14ac:dyDescent="0.85">
      <c r="A285" s="20">
        <v>1</v>
      </c>
      <c r="B285" s="66">
        <f>SUBTOTAL(103,$A$22:A285)</f>
        <v>258</v>
      </c>
      <c r="C285" s="24" t="s">
        <v>1267</v>
      </c>
      <c r="D285" s="31">
        <f t="shared" si="65"/>
        <v>4024342.92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3">
        <v>0</v>
      </c>
      <c r="L285" s="31">
        <v>0</v>
      </c>
      <c r="M285" s="31">
        <v>1036</v>
      </c>
      <c r="N285" s="31">
        <f>3967226.64-2356.77</f>
        <v>3964869.87</v>
      </c>
      <c r="O285" s="36">
        <v>0</v>
      </c>
      <c r="P285" s="36">
        <v>0</v>
      </c>
      <c r="Q285" s="31">
        <v>0</v>
      </c>
      <c r="R285" s="31">
        <v>0</v>
      </c>
      <c r="S285" s="31">
        <v>0</v>
      </c>
      <c r="T285" s="31">
        <v>0</v>
      </c>
      <c r="U285" s="31">
        <v>0</v>
      </c>
      <c r="V285" s="31">
        <v>0</v>
      </c>
      <c r="W285" s="31">
        <v>0</v>
      </c>
      <c r="X285" s="31">
        <v>0</v>
      </c>
      <c r="Y285" s="31">
        <v>0</v>
      </c>
      <c r="Z285" s="31">
        <v>0</v>
      </c>
      <c r="AA285" s="31">
        <v>0</v>
      </c>
      <c r="AB285" s="31">
        <v>0</v>
      </c>
      <c r="AC285" s="31">
        <f t="shared" si="67"/>
        <v>59473.05</v>
      </c>
      <c r="AD285" s="31">
        <v>0</v>
      </c>
      <c r="AE285" s="31">
        <v>0</v>
      </c>
      <c r="AF285" s="34" t="s">
        <v>274</v>
      </c>
      <c r="AG285" s="34">
        <v>2020</v>
      </c>
      <c r="AH285" s="35">
        <v>2020</v>
      </c>
    </row>
    <row r="286" spans="1:46" ht="61.5" x14ac:dyDescent="0.85">
      <c r="A286" s="20">
        <v>1</v>
      </c>
      <c r="B286" s="66">
        <f>SUBTOTAL(103,$A$22:A286)</f>
        <v>259</v>
      </c>
      <c r="C286" s="24" t="s">
        <v>679</v>
      </c>
      <c r="D286" s="31">
        <f t="shared" si="65"/>
        <v>3266633.7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3">
        <v>0</v>
      </c>
      <c r="L286" s="31">
        <v>0</v>
      </c>
      <c r="M286" s="31">
        <v>846.1</v>
      </c>
      <c r="N286" s="31">
        <v>3218358.33</v>
      </c>
      <c r="O286" s="36">
        <v>0</v>
      </c>
      <c r="P286" s="36">
        <v>0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v>0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  <c r="AC286" s="31">
        <f t="shared" si="67"/>
        <v>48275.37</v>
      </c>
      <c r="AD286" s="31">
        <v>0</v>
      </c>
      <c r="AE286" s="31">
        <v>0</v>
      </c>
      <c r="AF286" s="34" t="s">
        <v>274</v>
      </c>
      <c r="AG286" s="34">
        <v>2020</v>
      </c>
      <c r="AH286" s="35">
        <v>2020</v>
      </c>
    </row>
    <row r="287" spans="1:46" ht="61.5" x14ac:dyDescent="0.85">
      <c r="B287" s="24" t="s">
        <v>860</v>
      </c>
      <c r="C287" s="24"/>
      <c r="D287" s="31">
        <f>SUM(D288:D293)</f>
        <v>35599350.520000003</v>
      </c>
      <c r="E287" s="31">
        <f t="shared" ref="E287:AE287" si="68">SUM(E288:E293)</f>
        <v>0</v>
      </c>
      <c r="F287" s="31">
        <f t="shared" si="68"/>
        <v>0</v>
      </c>
      <c r="G287" s="31">
        <f t="shared" si="68"/>
        <v>0</v>
      </c>
      <c r="H287" s="31">
        <f t="shared" si="68"/>
        <v>0</v>
      </c>
      <c r="I287" s="31">
        <f t="shared" si="68"/>
        <v>0</v>
      </c>
      <c r="J287" s="31">
        <f t="shared" si="68"/>
        <v>0</v>
      </c>
      <c r="K287" s="33">
        <f t="shared" si="68"/>
        <v>0</v>
      </c>
      <c r="L287" s="31">
        <f t="shared" si="68"/>
        <v>0</v>
      </c>
      <c r="M287" s="31">
        <f t="shared" si="68"/>
        <v>5024.42</v>
      </c>
      <c r="N287" s="31">
        <f t="shared" si="68"/>
        <v>25057163.209999997</v>
      </c>
      <c r="O287" s="31">
        <f t="shared" si="68"/>
        <v>0</v>
      </c>
      <c r="P287" s="31">
        <f t="shared" si="68"/>
        <v>0</v>
      </c>
      <c r="Q287" s="31">
        <f t="shared" si="68"/>
        <v>3931.93</v>
      </c>
      <c r="R287" s="31">
        <f t="shared" si="68"/>
        <v>9444659.9700000007</v>
      </c>
      <c r="S287" s="31">
        <f t="shared" si="68"/>
        <v>0</v>
      </c>
      <c r="T287" s="31">
        <f t="shared" si="68"/>
        <v>0</v>
      </c>
      <c r="U287" s="31">
        <f t="shared" si="68"/>
        <v>0</v>
      </c>
      <c r="V287" s="31">
        <f t="shared" si="68"/>
        <v>0</v>
      </c>
      <c r="W287" s="31">
        <f t="shared" si="68"/>
        <v>0</v>
      </c>
      <c r="X287" s="31">
        <f t="shared" si="68"/>
        <v>0</v>
      </c>
      <c r="Y287" s="31">
        <f t="shared" si="68"/>
        <v>0</v>
      </c>
      <c r="Z287" s="31">
        <f t="shared" si="68"/>
        <v>0</v>
      </c>
      <c r="AA287" s="31">
        <f t="shared" si="68"/>
        <v>0</v>
      </c>
      <c r="AB287" s="31">
        <f t="shared" si="68"/>
        <v>0</v>
      </c>
      <c r="AC287" s="31">
        <f t="shared" si="68"/>
        <v>517527.34</v>
      </c>
      <c r="AD287" s="31">
        <f t="shared" si="68"/>
        <v>580000</v>
      </c>
      <c r="AE287" s="31">
        <f t="shared" si="68"/>
        <v>0</v>
      </c>
      <c r="AF287" s="72" t="s">
        <v>794</v>
      </c>
      <c r="AG287" s="72" t="s">
        <v>794</v>
      </c>
      <c r="AH287" s="91" t="s">
        <v>794</v>
      </c>
      <c r="AT287" s="20" t="e">
        <f>VLOOKUP(C287,AW:AX,2,FALSE)</f>
        <v>#N/A</v>
      </c>
    </row>
    <row r="288" spans="1:46" ht="61.5" x14ac:dyDescent="0.85">
      <c r="A288" s="20">
        <v>1</v>
      </c>
      <c r="B288" s="66">
        <f>SUBTOTAL(103,$A$22:A288)</f>
        <v>260</v>
      </c>
      <c r="C288" s="24" t="s">
        <v>689</v>
      </c>
      <c r="D288" s="31">
        <f t="shared" ref="D288:D291" si="69">E288+F288+G288+H288+I288+J288+L288+N288+P288+R288+T288+U288+V288+W288+X288+Y288+Z288+AA288+AB288+AC288+AD288+AE288</f>
        <v>3549468.85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3">
        <v>0</v>
      </c>
      <c r="L288" s="31">
        <v>0</v>
      </c>
      <c r="M288" s="31">
        <v>374</v>
      </c>
      <c r="N288" s="31">
        <v>1852654</v>
      </c>
      <c r="O288" s="37">
        <v>0</v>
      </c>
      <c r="P288" s="37">
        <v>0</v>
      </c>
      <c r="Q288" s="31">
        <v>470.68</v>
      </c>
      <c r="R288" s="31">
        <v>1526133.04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f>ROUND((N288+R288)*1.5%,2)</f>
        <v>50681.81</v>
      </c>
      <c r="AD288" s="31">
        <v>120000</v>
      </c>
      <c r="AE288" s="31">
        <v>0</v>
      </c>
      <c r="AF288" s="34">
        <v>2020</v>
      </c>
      <c r="AG288" s="34">
        <v>2020</v>
      </c>
      <c r="AH288" s="35">
        <v>2020</v>
      </c>
      <c r="AT288" s="20" t="e">
        <f>VLOOKUP(C288,AW:AX,2,FALSE)</f>
        <v>#N/A</v>
      </c>
    </row>
    <row r="289" spans="1:46" ht="61.5" x14ac:dyDescent="0.85">
      <c r="A289" s="20">
        <v>1</v>
      </c>
      <c r="B289" s="66">
        <f>SUBTOTAL(103,$A$22:A289)</f>
        <v>261</v>
      </c>
      <c r="C289" s="24" t="s">
        <v>683</v>
      </c>
      <c r="D289" s="31">
        <f t="shared" si="69"/>
        <v>3778176.65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3">
        <v>0</v>
      </c>
      <c r="L289" s="31">
        <v>0</v>
      </c>
      <c r="M289" s="31">
        <v>723.65</v>
      </c>
      <c r="N289" s="31">
        <v>3574558.28</v>
      </c>
      <c r="O289" s="36">
        <v>0</v>
      </c>
      <c r="P289" s="36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f t="shared" ref="AC289:AC290" si="70">ROUND(N289*1.5%,2)</f>
        <v>53618.37</v>
      </c>
      <c r="AD289" s="31">
        <v>150000</v>
      </c>
      <c r="AE289" s="31">
        <v>0</v>
      </c>
      <c r="AF289" s="34">
        <v>2020</v>
      </c>
      <c r="AG289" s="34">
        <v>2020</v>
      </c>
      <c r="AH289" s="35">
        <v>2020</v>
      </c>
      <c r="AT289" s="20" t="e">
        <f>VLOOKUP(C289,AW:AX,2,FALSE)</f>
        <v>#N/A</v>
      </c>
    </row>
    <row r="290" spans="1:46" ht="61.5" x14ac:dyDescent="0.85">
      <c r="A290" s="20">
        <v>1</v>
      </c>
      <c r="B290" s="66">
        <f>SUBTOTAL(103,$A$22:A290)</f>
        <v>262</v>
      </c>
      <c r="C290" s="24" t="s">
        <v>688</v>
      </c>
      <c r="D290" s="31">
        <f t="shared" si="69"/>
        <v>6011459.4000000004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3">
        <v>0</v>
      </c>
      <c r="L290" s="31">
        <v>0</v>
      </c>
      <c r="M290" s="31">
        <v>1151.4000000000001</v>
      </c>
      <c r="N290" s="31">
        <v>5745280.2000000002</v>
      </c>
      <c r="O290" s="36">
        <v>0</v>
      </c>
      <c r="P290" s="36">
        <v>0</v>
      </c>
      <c r="Q290" s="31">
        <v>0</v>
      </c>
      <c r="R290" s="31">
        <v>0</v>
      </c>
      <c r="S290" s="31">
        <v>0</v>
      </c>
      <c r="T290" s="31">
        <v>0</v>
      </c>
      <c r="U290" s="31">
        <v>0</v>
      </c>
      <c r="V290" s="31">
        <v>0</v>
      </c>
      <c r="W290" s="31">
        <v>0</v>
      </c>
      <c r="X290" s="31">
        <v>0</v>
      </c>
      <c r="Y290" s="31">
        <v>0</v>
      </c>
      <c r="Z290" s="31">
        <v>0</v>
      </c>
      <c r="AA290" s="31">
        <v>0</v>
      </c>
      <c r="AB290" s="31">
        <v>0</v>
      </c>
      <c r="AC290" s="31">
        <f t="shared" si="70"/>
        <v>86179.199999999997</v>
      </c>
      <c r="AD290" s="31">
        <v>180000</v>
      </c>
      <c r="AE290" s="31">
        <v>0</v>
      </c>
      <c r="AF290" s="34">
        <v>2020</v>
      </c>
      <c r="AG290" s="34">
        <v>2020</v>
      </c>
      <c r="AH290" s="35">
        <v>2020</v>
      </c>
      <c r="AT290" s="20" t="e">
        <f>VLOOKUP(C290,AW:AX,2,FALSE)</f>
        <v>#N/A</v>
      </c>
    </row>
    <row r="291" spans="1:46" ht="61.5" x14ac:dyDescent="0.85">
      <c r="A291" s="20">
        <v>1</v>
      </c>
      <c r="B291" s="66">
        <f>SUBTOTAL(103,$A$22:A291)</f>
        <v>263</v>
      </c>
      <c r="C291" s="24" t="s">
        <v>1268</v>
      </c>
      <c r="D291" s="31">
        <f t="shared" si="69"/>
        <v>8037304.830000001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3">
        <v>0</v>
      </c>
      <c r="L291" s="31">
        <v>0</v>
      </c>
      <c r="M291" s="31">
        <v>0</v>
      </c>
      <c r="N291" s="31">
        <v>0</v>
      </c>
      <c r="O291" s="36">
        <v>0</v>
      </c>
      <c r="P291" s="36">
        <v>0</v>
      </c>
      <c r="Q291" s="31">
        <v>3461.25</v>
      </c>
      <c r="R291" s="31">
        <f>6030335.94+1888190.99</f>
        <v>7918526.9300000006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f>ROUND(R291*1.5%,2)</f>
        <v>118777.9</v>
      </c>
      <c r="AD291" s="31">
        <v>0</v>
      </c>
      <c r="AE291" s="31">
        <v>0</v>
      </c>
      <c r="AF291" s="34" t="s">
        <v>274</v>
      </c>
      <c r="AG291" s="34">
        <v>2020</v>
      </c>
      <c r="AH291" s="35">
        <v>2020</v>
      </c>
    </row>
    <row r="292" spans="1:46" ht="61.5" x14ac:dyDescent="0.85">
      <c r="A292" s="20">
        <v>1</v>
      </c>
      <c r="B292" s="66">
        <f>SUBTOTAL(103,$A$22:A292)</f>
        <v>264</v>
      </c>
      <c r="C292" s="24" t="s">
        <v>1253</v>
      </c>
      <c r="D292" s="31">
        <f>E292+F292+G292+H292+I292+J292+L292+N292+P292+R292+T292+U292+V292+W292+X292+Y292+Z292+AA292+AB292+AC292+AD292+AE292</f>
        <v>10475523.609999999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3">
        <v>0</v>
      </c>
      <c r="L292" s="31">
        <v>0</v>
      </c>
      <c r="M292" s="31">
        <v>1995.2</v>
      </c>
      <c r="N292" s="31">
        <v>10320712.92</v>
      </c>
      <c r="O292" s="36">
        <v>0</v>
      </c>
      <c r="P292" s="36">
        <v>0</v>
      </c>
      <c r="Q292" s="31">
        <v>0</v>
      </c>
      <c r="R292" s="31">
        <v>0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  <c r="AC292" s="31">
        <f>ROUND(N292*1.5%,2)</f>
        <v>154810.69</v>
      </c>
      <c r="AD292" s="31">
        <v>0</v>
      </c>
      <c r="AE292" s="31">
        <v>0</v>
      </c>
      <c r="AF292" s="34" t="s">
        <v>274</v>
      </c>
      <c r="AG292" s="34">
        <v>2020</v>
      </c>
      <c r="AH292" s="35">
        <v>2020</v>
      </c>
    </row>
    <row r="293" spans="1:46" ht="61.5" x14ac:dyDescent="0.85">
      <c r="A293" s="20">
        <v>1</v>
      </c>
      <c r="B293" s="66">
        <f>SUBTOTAL(103,$A$22:A293)</f>
        <v>265</v>
      </c>
      <c r="C293" s="24" t="s">
        <v>1662</v>
      </c>
      <c r="D293" s="31">
        <f>E293+F293+G293+H293+I293+J293+L293+N293+P293+R293+T293+U293+V293+W293+X293+Y293+Z293+AA293+AB293+AC293+AD293+AE293</f>
        <v>3747417.18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3">
        <v>0</v>
      </c>
      <c r="L293" s="31">
        <v>0</v>
      </c>
      <c r="M293" s="31">
        <v>780.17</v>
      </c>
      <c r="N293" s="31">
        <f>3479095.21+84862.6</f>
        <v>3563957.81</v>
      </c>
      <c r="O293" s="36">
        <v>0</v>
      </c>
      <c r="P293" s="36">
        <v>0</v>
      </c>
      <c r="Q293" s="31">
        <v>0</v>
      </c>
      <c r="R293" s="31">
        <v>0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  <c r="AC293" s="31">
        <f>ROUND(N293*1.5%,2)</f>
        <v>53459.37</v>
      </c>
      <c r="AD293" s="31">
        <v>130000</v>
      </c>
      <c r="AE293" s="31">
        <v>0</v>
      </c>
      <c r="AF293" s="34">
        <v>2020</v>
      </c>
      <c r="AG293" s="34">
        <v>2020</v>
      </c>
      <c r="AH293" s="35">
        <v>2020</v>
      </c>
    </row>
    <row r="294" spans="1:46" ht="61.5" x14ac:dyDescent="0.85">
      <c r="B294" s="24" t="s">
        <v>861</v>
      </c>
      <c r="C294" s="24"/>
      <c r="D294" s="31">
        <f>SUM(D295:D298)</f>
        <v>17002898.350000001</v>
      </c>
      <c r="E294" s="31">
        <f t="shared" ref="E294:AE294" si="71">SUM(E295:E298)</f>
        <v>0</v>
      </c>
      <c r="F294" s="31">
        <f t="shared" si="71"/>
        <v>568509.12</v>
      </c>
      <c r="G294" s="31">
        <f t="shared" si="71"/>
        <v>2465318.6100000003</v>
      </c>
      <c r="H294" s="31">
        <f t="shared" si="71"/>
        <v>345280.61</v>
      </c>
      <c r="I294" s="31">
        <f t="shared" si="71"/>
        <v>0</v>
      </c>
      <c r="J294" s="31">
        <f t="shared" si="71"/>
        <v>0</v>
      </c>
      <c r="K294" s="33">
        <f t="shared" si="71"/>
        <v>0</v>
      </c>
      <c r="L294" s="31">
        <f t="shared" si="71"/>
        <v>0</v>
      </c>
      <c r="M294" s="31">
        <f t="shared" si="71"/>
        <v>3198.9</v>
      </c>
      <c r="N294" s="31">
        <f t="shared" si="71"/>
        <v>13047392.5</v>
      </c>
      <c r="O294" s="31">
        <f t="shared" si="71"/>
        <v>0</v>
      </c>
      <c r="P294" s="31">
        <f t="shared" si="71"/>
        <v>0</v>
      </c>
      <c r="Q294" s="31">
        <f t="shared" si="71"/>
        <v>0</v>
      </c>
      <c r="R294" s="31">
        <f t="shared" si="71"/>
        <v>0</v>
      </c>
      <c r="S294" s="31">
        <f t="shared" si="71"/>
        <v>0</v>
      </c>
      <c r="T294" s="31">
        <f t="shared" si="71"/>
        <v>0</v>
      </c>
      <c r="U294" s="31">
        <f t="shared" si="71"/>
        <v>0</v>
      </c>
      <c r="V294" s="31">
        <f t="shared" si="71"/>
        <v>0</v>
      </c>
      <c r="W294" s="31">
        <f t="shared" si="71"/>
        <v>0</v>
      </c>
      <c r="X294" s="31">
        <f t="shared" si="71"/>
        <v>0</v>
      </c>
      <c r="Y294" s="31">
        <f t="shared" si="71"/>
        <v>0</v>
      </c>
      <c r="Z294" s="31">
        <f t="shared" si="71"/>
        <v>0</v>
      </c>
      <c r="AA294" s="31">
        <f t="shared" si="71"/>
        <v>0</v>
      </c>
      <c r="AB294" s="31">
        <f t="shared" si="71"/>
        <v>0</v>
      </c>
      <c r="AC294" s="31">
        <f t="shared" si="71"/>
        <v>246397.50999999998</v>
      </c>
      <c r="AD294" s="31">
        <f t="shared" si="71"/>
        <v>330000</v>
      </c>
      <c r="AE294" s="31">
        <f t="shared" si="71"/>
        <v>0</v>
      </c>
      <c r="AF294" s="72" t="s">
        <v>794</v>
      </c>
      <c r="AG294" s="72" t="s">
        <v>794</v>
      </c>
      <c r="AH294" s="91" t="s">
        <v>794</v>
      </c>
      <c r="AT294" s="20" t="e">
        <f>VLOOKUP(C294,AW:AX,2,FALSE)</f>
        <v>#N/A</v>
      </c>
    </row>
    <row r="295" spans="1:46" ht="61.5" x14ac:dyDescent="0.85">
      <c r="A295" s="20">
        <v>1</v>
      </c>
      <c r="B295" s="66">
        <f>SUBTOTAL(103,$A$22:A295)</f>
        <v>266</v>
      </c>
      <c r="C295" s="24" t="s">
        <v>693</v>
      </c>
      <c r="D295" s="31">
        <f t="shared" ref="D295:D297" si="72">E295+F295+G295+H295+I295+J295+L295+N295+P295+R295+T295+U295+V295+W295+X295+Y295+Z295+AA295+AB295+AC295+AD295+AE295</f>
        <v>6202548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3">
        <v>0</v>
      </c>
      <c r="L295" s="31">
        <v>0</v>
      </c>
      <c r="M295" s="31">
        <v>1188</v>
      </c>
      <c r="N295" s="31">
        <v>5933544.8300000001</v>
      </c>
      <c r="O295" s="36">
        <v>0</v>
      </c>
      <c r="P295" s="36">
        <v>0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  <c r="Z295" s="31">
        <v>0</v>
      </c>
      <c r="AA295" s="31">
        <v>0</v>
      </c>
      <c r="AB295" s="31">
        <v>0</v>
      </c>
      <c r="AC295" s="31">
        <f>ROUND(N295*1.5%,2)</f>
        <v>89003.17</v>
      </c>
      <c r="AD295" s="31">
        <v>180000</v>
      </c>
      <c r="AE295" s="31">
        <v>0</v>
      </c>
      <c r="AF295" s="34">
        <v>2020</v>
      </c>
      <c r="AG295" s="34">
        <v>2020</v>
      </c>
      <c r="AH295" s="35">
        <v>2020</v>
      </c>
      <c r="AT295" s="20" t="e">
        <f>VLOOKUP(C295,AW:AX,2,FALSE)</f>
        <v>#N/A</v>
      </c>
    </row>
    <row r="296" spans="1:46" ht="61.5" x14ac:dyDescent="0.85">
      <c r="A296" s="20">
        <v>1</v>
      </c>
      <c r="B296" s="66">
        <f>SUBTOTAL(103,$A$22:A296)</f>
        <v>267</v>
      </c>
      <c r="C296" s="24" t="s">
        <v>690</v>
      </c>
      <c r="D296" s="31">
        <f t="shared" si="72"/>
        <v>3579794.97</v>
      </c>
      <c r="E296" s="38">
        <v>0</v>
      </c>
      <c r="F296" s="38">
        <v>568509.12</v>
      </c>
      <c r="G296" s="31">
        <f>3222357.41-757038.8</f>
        <v>2465318.6100000003</v>
      </c>
      <c r="H296" s="38">
        <v>345280.61</v>
      </c>
      <c r="I296" s="38">
        <v>0</v>
      </c>
      <c r="J296" s="38">
        <v>0</v>
      </c>
      <c r="K296" s="33">
        <v>0</v>
      </c>
      <c r="L296" s="31">
        <v>0</v>
      </c>
      <c r="M296" s="31">
        <v>0</v>
      </c>
      <c r="N296" s="31">
        <v>0</v>
      </c>
      <c r="O296" s="38">
        <v>0</v>
      </c>
      <c r="P296" s="38">
        <v>0</v>
      </c>
      <c r="Q296" s="31">
        <v>0</v>
      </c>
      <c r="R296" s="31">
        <v>0</v>
      </c>
      <c r="S296" s="31">
        <v>0</v>
      </c>
      <c r="T296" s="31">
        <v>0</v>
      </c>
      <c r="U296" s="31">
        <v>0</v>
      </c>
      <c r="V296" s="31">
        <v>0</v>
      </c>
      <c r="W296" s="31">
        <v>0</v>
      </c>
      <c r="X296" s="31">
        <v>0</v>
      </c>
      <c r="Y296" s="31">
        <v>0</v>
      </c>
      <c r="Z296" s="31">
        <v>0</v>
      </c>
      <c r="AA296" s="31">
        <v>0</v>
      </c>
      <c r="AB296" s="31">
        <v>0</v>
      </c>
      <c r="AC296" s="31">
        <f>ROUND((E296+F296+G296+H296+I296+J296)*1.5%,2)</f>
        <v>50686.63</v>
      </c>
      <c r="AD296" s="31">
        <v>150000</v>
      </c>
      <c r="AE296" s="31">
        <v>0</v>
      </c>
      <c r="AF296" s="34">
        <v>2020</v>
      </c>
      <c r="AG296" s="34">
        <v>2020</v>
      </c>
      <c r="AH296" s="35">
        <v>2020</v>
      </c>
      <c r="AT296" s="20" t="e">
        <f>VLOOKUP(C296,AW:AX,2,FALSE)</f>
        <v>#N/A</v>
      </c>
    </row>
    <row r="297" spans="1:46" ht="61.5" x14ac:dyDescent="0.85">
      <c r="A297" s="20">
        <v>1</v>
      </c>
      <c r="B297" s="66">
        <f>SUBTOTAL(103,$A$22:A297)</f>
        <v>268</v>
      </c>
      <c r="C297" s="24" t="s">
        <v>1269</v>
      </c>
      <c r="D297" s="31">
        <f t="shared" si="72"/>
        <v>3650965.3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3">
        <v>0</v>
      </c>
      <c r="L297" s="31">
        <v>0</v>
      </c>
      <c r="M297" s="31">
        <v>855</v>
      </c>
      <c r="N297" s="31">
        <v>3597010.15</v>
      </c>
      <c r="O297" s="36">
        <v>0</v>
      </c>
      <c r="P297" s="36">
        <v>0</v>
      </c>
      <c r="Q297" s="31">
        <v>0</v>
      </c>
      <c r="R297" s="31">
        <v>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  <c r="Z297" s="31">
        <v>0</v>
      </c>
      <c r="AA297" s="31">
        <v>0</v>
      </c>
      <c r="AB297" s="31">
        <v>0</v>
      </c>
      <c r="AC297" s="31">
        <f>ROUND(N297*1.5%,2)</f>
        <v>53955.15</v>
      </c>
      <c r="AD297" s="31">
        <v>0</v>
      </c>
      <c r="AE297" s="31">
        <v>0</v>
      </c>
      <c r="AF297" s="34" t="s">
        <v>274</v>
      </c>
      <c r="AG297" s="34">
        <v>2020</v>
      </c>
      <c r="AH297" s="35">
        <v>2020</v>
      </c>
    </row>
    <row r="298" spans="1:46" ht="61.5" x14ac:dyDescent="0.85">
      <c r="A298" s="20">
        <v>1</v>
      </c>
      <c r="B298" s="66">
        <f>SUBTOTAL(103,$A$22:A298)</f>
        <v>269</v>
      </c>
      <c r="C298" s="24" t="s">
        <v>1255</v>
      </c>
      <c r="D298" s="31">
        <f>E298+F298+G298+H298+I298+J298+L298+N298+P298+R298+T298+U298+V298+W298+X298+Y298+Z298+AA298+AB298+AC298+AD298+AE298</f>
        <v>3569590.08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3">
        <v>0</v>
      </c>
      <c r="L298" s="31">
        <v>0</v>
      </c>
      <c r="M298" s="31">
        <v>1155.9000000000001</v>
      </c>
      <c r="N298" s="31">
        <f>2738772.46+778065.06</f>
        <v>3516837.52</v>
      </c>
      <c r="O298" s="36">
        <v>0</v>
      </c>
      <c r="P298" s="36">
        <v>0</v>
      </c>
      <c r="Q298" s="31">
        <v>0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  <c r="AC298" s="31">
        <f>ROUND(N298*1.5%,2)</f>
        <v>52752.56</v>
      </c>
      <c r="AD298" s="31">
        <v>0</v>
      </c>
      <c r="AE298" s="31">
        <v>0</v>
      </c>
      <c r="AF298" s="34" t="s">
        <v>274</v>
      </c>
      <c r="AG298" s="34">
        <v>2020</v>
      </c>
      <c r="AH298" s="35">
        <v>2020</v>
      </c>
    </row>
    <row r="299" spans="1:46" ht="61.5" x14ac:dyDescent="0.85">
      <c r="B299" s="24" t="s">
        <v>1349</v>
      </c>
      <c r="C299" s="24"/>
      <c r="D299" s="31">
        <f>D300</f>
        <v>509455.14</v>
      </c>
      <c r="E299" s="31">
        <f t="shared" ref="E299:AE299" si="73">E300</f>
        <v>0</v>
      </c>
      <c r="F299" s="31">
        <f t="shared" si="73"/>
        <v>0</v>
      </c>
      <c r="G299" s="31">
        <f t="shared" si="73"/>
        <v>0</v>
      </c>
      <c r="H299" s="31">
        <f t="shared" si="73"/>
        <v>0</v>
      </c>
      <c r="I299" s="31">
        <f t="shared" si="73"/>
        <v>0</v>
      </c>
      <c r="J299" s="31">
        <f t="shared" si="73"/>
        <v>0</v>
      </c>
      <c r="K299" s="33">
        <f t="shared" si="73"/>
        <v>0</v>
      </c>
      <c r="L299" s="31">
        <f t="shared" si="73"/>
        <v>0</v>
      </c>
      <c r="M299" s="31">
        <f t="shared" si="73"/>
        <v>0</v>
      </c>
      <c r="N299" s="31">
        <f t="shared" si="73"/>
        <v>0</v>
      </c>
      <c r="O299" s="31">
        <f t="shared" si="73"/>
        <v>0</v>
      </c>
      <c r="P299" s="31">
        <f t="shared" si="73"/>
        <v>0</v>
      </c>
      <c r="Q299" s="31">
        <f t="shared" si="73"/>
        <v>0</v>
      </c>
      <c r="R299" s="31">
        <f t="shared" si="73"/>
        <v>0</v>
      </c>
      <c r="S299" s="31">
        <f t="shared" si="73"/>
        <v>0</v>
      </c>
      <c r="T299" s="31">
        <f t="shared" si="73"/>
        <v>0</v>
      </c>
      <c r="U299" s="31">
        <f t="shared" si="73"/>
        <v>0</v>
      </c>
      <c r="V299" s="31">
        <f t="shared" si="73"/>
        <v>501926.25</v>
      </c>
      <c r="W299" s="31">
        <f t="shared" si="73"/>
        <v>0</v>
      </c>
      <c r="X299" s="31">
        <f t="shared" si="73"/>
        <v>0</v>
      </c>
      <c r="Y299" s="31">
        <f t="shared" si="73"/>
        <v>0</v>
      </c>
      <c r="Z299" s="31">
        <f t="shared" si="73"/>
        <v>0</v>
      </c>
      <c r="AA299" s="31">
        <f t="shared" si="73"/>
        <v>0</v>
      </c>
      <c r="AB299" s="31">
        <f t="shared" si="73"/>
        <v>0</v>
      </c>
      <c r="AC299" s="31">
        <f t="shared" si="73"/>
        <v>7528.89</v>
      </c>
      <c r="AD299" s="31">
        <f t="shared" si="73"/>
        <v>0</v>
      </c>
      <c r="AE299" s="31">
        <f t="shared" si="73"/>
        <v>0</v>
      </c>
      <c r="AF299" s="72" t="s">
        <v>794</v>
      </c>
      <c r="AG299" s="72" t="s">
        <v>794</v>
      </c>
      <c r="AH299" s="91" t="s">
        <v>794</v>
      </c>
    </row>
    <row r="300" spans="1:46" ht="61.5" x14ac:dyDescent="0.85">
      <c r="A300" s="20">
        <v>1</v>
      </c>
      <c r="B300" s="66">
        <f>SUBTOTAL(103,$A$22:A300)</f>
        <v>270</v>
      </c>
      <c r="C300" s="24" t="s">
        <v>1254</v>
      </c>
      <c r="D300" s="31">
        <f>E300+F300+G300+H300+I300+J300+L300+N300+P300+R300+T300+U300+V300+W300+X300+Y300+Z300+AA300+AB300+AC300+AD300+AE300</f>
        <v>509455.14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3">
        <v>0</v>
      </c>
      <c r="L300" s="31">
        <v>0</v>
      </c>
      <c r="M300" s="31">
        <v>0</v>
      </c>
      <c r="N300" s="31">
        <v>0</v>
      </c>
      <c r="O300" s="36">
        <v>0</v>
      </c>
      <c r="P300" s="36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  <c r="V300" s="31">
        <f>351650.11+150302.12-25.98</f>
        <v>501926.25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  <c r="AC300" s="31">
        <f>ROUND(V300*1.5%,2)</f>
        <v>7528.89</v>
      </c>
      <c r="AD300" s="31">
        <v>0</v>
      </c>
      <c r="AE300" s="31">
        <v>0</v>
      </c>
      <c r="AF300" s="34" t="s">
        <v>274</v>
      </c>
      <c r="AG300" s="34">
        <v>2020</v>
      </c>
      <c r="AH300" s="35">
        <v>2020</v>
      </c>
    </row>
    <row r="301" spans="1:46" ht="61.5" x14ac:dyDescent="0.85">
      <c r="B301" s="24" t="s">
        <v>862</v>
      </c>
      <c r="C301" s="117"/>
      <c r="D301" s="31">
        <f>SUM(D302:D303)</f>
        <v>6114371.4100000001</v>
      </c>
      <c r="E301" s="31">
        <f t="shared" ref="E301:AE301" si="74">SUM(E302:E303)</f>
        <v>0</v>
      </c>
      <c r="F301" s="31">
        <f t="shared" si="74"/>
        <v>0</v>
      </c>
      <c r="G301" s="31">
        <f t="shared" si="74"/>
        <v>0</v>
      </c>
      <c r="H301" s="31">
        <f t="shared" si="74"/>
        <v>0</v>
      </c>
      <c r="I301" s="31">
        <f t="shared" si="74"/>
        <v>0</v>
      </c>
      <c r="J301" s="31">
        <f t="shared" si="74"/>
        <v>0</v>
      </c>
      <c r="K301" s="33">
        <f t="shared" si="74"/>
        <v>0</v>
      </c>
      <c r="L301" s="31">
        <f t="shared" si="74"/>
        <v>0</v>
      </c>
      <c r="M301" s="31">
        <f t="shared" si="74"/>
        <v>1034</v>
      </c>
      <c r="N301" s="31">
        <f t="shared" si="74"/>
        <v>5903016.8099999996</v>
      </c>
      <c r="O301" s="31">
        <f t="shared" si="74"/>
        <v>0</v>
      </c>
      <c r="P301" s="31">
        <f t="shared" si="74"/>
        <v>0</v>
      </c>
      <c r="Q301" s="31">
        <f t="shared" si="74"/>
        <v>0</v>
      </c>
      <c r="R301" s="31">
        <f t="shared" si="74"/>
        <v>0</v>
      </c>
      <c r="S301" s="31">
        <f t="shared" si="74"/>
        <v>0</v>
      </c>
      <c r="T301" s="31">
        <f t="shared" si="74"/>
        <v>0</v>
      </c>
      <c r="U301" s="31">
        <f t="shared" si="74"/>
        <v>0</v>
      </c>
      <c r="V301" s="31">
        <f t="shared" si="74"/>
        <v>0</v>
      </c>
      <c r="W301" s="31">
        <f t="shared" si="74"/>
        <v>0</v>
      </c>
      <c r="X301" s="31">
        <f t="shared" si="74"/>
        <v>0</v>
      </c>
      <c r="Y301" s="31">
        <f t="shared" si="74"/>
        <v>0</v>
      </c>
      <c r="Z301" s="31">
        <f t="shared" si="74"/>
        <v>0</v>
      </c>
      <c r="AA301" s="31">
        <f t="shared" si="74"/>
        <v>0</v>
      </c>
      <c r="AB301" s="31">
        <f t="shared" si="74"/>
        <v>0</v>
      </c>
      <c r="AC301" s="31">
        <f t="shared" si="74"/>
        <v>88545.25</v>
      </c>
      <c r="AD301" s="31">
        <f t="shared" si="74"/>
        <v>122809.35</v>
      </c>
      <c r="AE301" s="31">
        <f t="shared" si="74"/>
        <v>0</v>
      </c>
      <c r="AF301" s="72" t="s">
        <v>794</v>
      </c>
      <c r="AG301" s="72" t="s">
        <v>794</v>
      </c>
      <c r="AH301" s="91" t="s">
        <v>794</v>
      </c>
      <c r="AT301" s="20" t="e">
        <f>VLOOKUP(C301,AW:AX,2,FALSE)</f>
        <v>#N/A</v>
      </c>
    </row>
    <row r="302" spans="1:46" ht="61.5" x14ac:dyDescent="0.85">
      <c r="A302" s="20">
        <v>1</v>
      </c>
      <c r="B302" s="66">
        <f>SUBTOTAL(103,$A$22:A302)</f>
        <v>271</v>
      </c>
      <c r="C302" s="24" t="s">
        <v>718</v>
      </c>
      <c r="D302" s="31">
        <f t="shared" ref="D302:D303" si="75">E302+F302+G302+H302+I302+J302+L302+N302+P302+R302+T302+U302+V302+W302+X302+Y302+Z302+AA302+AB302+AC302+AD302+AE302</f>
        <v>5700737.6600000001</v>
      </c>
      <c r="E302" s="38">
        <v>0</v>
      </c>
      <c r="F302" s="38">
        <v>0</v>
      </c>
      <c r="G302" s="31">
        <v>0</v>
      </c>
      <c r="H302" s="38">
        <v>0</v>
      </c>
      <c r="I302" s="38">
        <v>0</v>
      </c>
      <c r="J302" s="38">
        <v>0</v>
      </c>
      <c r="K302" s="33">
        <v>0</v>
      </c>
      <c r="L302" s="31">
        <v>0</v>
      </c>
      <c r="M302" s="31">
        <v>867</v>
      </c>
      <c r="N302" s="31">
        <v>5527472.1399999997</v>
      </c>
      <c r="O302" s="38">
        <v>0</v>
      </c>
      <c r="P302" s="38">
        <v>0</v>
      </c>
      <c r="Q302" s="31">
        <v>0</v>
      </c>
      <c r="R302" s="31">
        <v>0</v>
      </c>
      <c r="S302" s="31">
        <v>0</v>
      </c>
      <c r="T302" s="31">
        <v>0</v>
      </c>
      <c r="U302" s="31">
        <v>0</v>
      </c>
      <c r="V302" s="31">
        <v>0</v>
      </c>
      <c r="W302" s="31">
        <v>0</v>
      </c>
      <c r="X302" s="31">
        <v>0</v>
      </c>
      <c r="Y302" s="31">
        <v>0</v>
      </c>
      <c r="Z302" s="31">
        <v>0</v>
      </c>
      <c r="AA302" s="31">
        <v>0</v>
      </c>
      <c r="AB302" s="31">
        <v>0</v>
      </c>
      <c r="AC302" s="31">
        <f t="shared" ref="AC302:AC303" si="76">ROUND(N302*1.5%,2)</f>
        <v>82912.08</v>
      </c>
      <c r="AD302" s="31">
        <v>90353.44</v>
      </c>
      <c r="AE302" s="31">
        <v>0</v>
      </c>
      <c r="AF302" s="34">
        <v>2020</v>
      </c>
      <c r="AG302" s="34">
        <v>2020</v>
      </c>
      <c r="AH302" s="35">
        <v>2020</v>
      </c>
      <c r="AT302" s="20" t="e">
        <f>VLOOKUP(C302,AW:AX,2,FALSE)</f>
        <v>#N/A</v>
      </c>
    </row>
    <row r="303" spans="1:46" ht="61.5" x14ac:dyDescent="0.85">
      <c r="A303" s="20">
        <v>1</v>
      </c>
      <c r="B303" s="66">
        <f>SUBTOTAL(103,$A$22:A303)</f>
        <v>272</v>
      </c>
      <c r="C303" s="24" t="s">
        <v>716</v>
      </c>
      <c r="D303" s="31">
        <f t="shared" si="75"/>
        <v>413633.75</v>
      </c>
      <c r="E303" s="38">
        <v>0</v>
      </c>
      <c r="F303" s="38">
        <v>0</v>
      </c>
      <c r="G303" s="31">
        <v>0</v>
      </c>
      <c r="H303" s="38">
        <v>0</v>
      </c>
      <c r="I303" s="38">
        <v>0</v>
      </c>
      <c r="J303" s="38">
        <v>0</v>
      </c>
      <c r="K303" s="33">
        <v>0</v>
      </c>
      <c r="L303" s="31">
        <v>0</v>
      </c>
      <c r="M303" s="31">
        <v>167</v>
      </c>
      <c r="N303" s="31">
        <f>468187.46-92642.79</f>
        <v>375544.67000000004</v>
      </c>
      <c r="O303" s="38">
        <v>0</v>
      </c>
      <c r="P303" s="38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f t="shared" si="76"/>
        <v>5633.17</v>
      </c>
      <c r="AD303" s="31">
        <v>32455.91</v>
      </c>
      <c r="AE303" s="31">
        <v>0</v>
      </c>
      <c r="AF303" s="34">
        <v>2020</v>
      </c>
      <c r="AG303" s="34">
        <v>2020</v>
      </c>
      <c r="AH303" s="35">
        <v>2020</v>
      </c>
      <c r="AT303" s="20" t="e">
        <f>VLOOKUP(C303,AW:AX,2,FALSE)</f>
        <v>#N/A</v>
      </c>
    </row>
    <row r="304" spans="1:46" ht="61.5" x14ac:dyDescent="0.85">
      <c r="B304" s="24" t="s">
        <v>863</v>
      </c>
      <c r="C304" s="24"/>
      <c r="D304" s="31">
        <f>SUM(D305:D309)</f>
        <v>13474518.75</v>
      </c>
      <c r="E304" s="31">
        <f t="shared" ref="E304:AE304" si="77">SUM(E305:E309)</f>
        <v>154554.67000000001</v>
      </c>
      <c r="F304" s="31">
        <f t="shared" si="77"/>
        <v>0</v>
      </c>
      <c r="G304" s="31">
        <f t="shared" si="77"/>
        <v>666330.31000000006</v>
      </c>
      <c r="H304" s="31">
        <f t="shared" si="77"/>
        <v>250573.85</v>
      </c>
      <c r="I304" s="31">
        <f t="shared" si="77"/>
        <v>0</v>
      </c>
      <c r="J304" s="31">
        <f t="shared" si="77"/>
        <v>0</v>
      </c>
      <c r="K304" s="33">
        <f t="shared" si="77"/>
        <v>0</v>
      </c>
      <c r="L304" s="31">
        <f t="shared" si="77"/>
        <v>0</v>
      </c>
      <c r="M304" s="31">
        <f t="shared" si="77"/>
        <v>0</v>
      </c>
      <c r="N304" s="31">
        <f t="shared" si="77"/>
        <v>0</v>
      </c>
      <c r="O304" s="31">
        <f t="shared" si="77"/>
        <v>339.3</v>
      </c>
      <c r="P304" s="31">
        <f t="shared" si="77"/>
        <v>3414090.48</v>
      </c>
      <c r="Q304" s="31">
        <f t="shared" si="77"/>
        <v>1907.2</v>
      </c>
      <c r="R304" s="31">
        <f t="shared" si="77"/>
        <v>8686047.7799999993</v>
      </c>
      <c r="S304" s="31">
        <f t="shared" si="77"/>
        <v>0</v>
      </c>
      <c r="T304" s="31">
        <f t="shared" si="77"/>
        <v>0</v>
      </c>
      <c r="U304" s="31">
        <f t="shared" si="77"/>
        <v>0</v>
      </c>
      <c r="V304" s="31">
        <f t="shared" si="77"/>
        <v>0</v>
      </c>
      <c r="W304" s="31">
        <f t="shared" si="77"/>
        <v>0</v>
      </c>
      <c r="X304" s="31">
        <f t="shared" si="77"/>
        <v>0</v>
      </c>
      <c r="Y304" s="31">
        <f t="shared" si="77"/>
        <v>0</v>
      </c>
      <c r="Z304" s="31">
        <f t="shared" si="77"/>
        <v>0</v>
      </c>
      <c r="AA304" s="31">
        <f t="shared" si="77"/>
        <v>0</v>
      </c>
      <c r="AB304" s="31">
        <f t="shared" si="77"/>
        <v>0</v>
      </c>
      <c r="AC304" s="31">
        <f t="shared" si="77"/>
        <v>196743.94</v>
      </c>
      <c r="AD304" s="31">
        <f t="shared" si="77"/>
        <v>106177.72</v>
      </c>
      <c r="AE304" s="31">
        <f t="shared" si="77"/>
        <v>0</v>
      </c>
      <c r="AF304" s="72" t="s">
        <v>794</v>
      </c>
      <c r="AG304" s="72" t="s">
        <v>794</v>
      </c>
      <c r="AH304" s="91" t="s">
        <v>794</v>
      </c>
      <c r="AT304" s="20" t="e">
        <f>VLOOKUP(C304,AW:AX,2,FALSE)</f>
        <v>#N/A</v>
      </c>
    </row>
    <row r="305" spans="1:46" ht="61.5" x14ac:dyDescent="0.85">
      <c r="A305" s="20">
        <v>1</v>
      </c>
      <c r="B305" s="66">
        <f>SUBTOTAL(103,$A$22:A305)</f>
        <v>273</v>
      </c>
      <c r="C305" s="24" t="s">
        <v>731</v>
      </c>
      <c r="D305" s="31">
        <f t="shared" ref="D305:D309" si="78">E305+F305+G305+H305+I305+J305+L305+N305+P305+R305+T305+U305+V305+W305+X305+Y305+Z305+AA305+AB305+AC305+AD305+AE305</f>
        <v>2242518.08</v>
      </c>
      <c r="E305" s="38">
        <v>0</v>
      </c>
      <c r="F305" s="38">
        <v>0</v>
      </c>
      <c r="G305" s="31">
        <v>0</v>
      </c>
      <c r="H305" s="38">
        <v>0</v>
      </c>
      <c r="I305" s="38">
        <v>0</v>
      </c>
      <c r="J305" s="38">
        <v>0</v>
      </c>
      <c r="K305" s="33">
        <v>0</v>
      </c>
      <c r="L305" s="31">
        <v>0</v>
      </c>
      <c r="M305" s="31">
        <v>0</v>
      </c>
      <c r="N305" s="31">
        <v>0</v>
      </c>
      <c r="O305" s="38">
        <v>0</v>
      </c>
      <c r="P305" s="38">
        <v>0</v>
      </c>
      <c r="Q305" s="31">
        <v>607.29999999999995</v>
      </c>
      <c r="R305" s="31">
        <v>2104768.83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  <c r="AC305" s="31">
        <f t="shared" ref="AC305" si="79">ROUND(R305*1.5%,2)</f>
        <v>31571.53</v>
      </c>
      <c r="AD305" s="31">
        <v>106177.72</v>
      </c>
      <c r="AE305" s="31">
        <v>0</v>
      </c>
      <c r="AF305" s="34">
        <v>2020</v>
      </c>
      <c r="AG305" s="34">
        <v>2020</v>
      </c>
      <c r="AH305" s="35">
        <v>2020</v>
      </c>
      <c r="AT305" s="20" t="e">
        <f>VLOOKUP(C305,AW:AX,2,FALSE)</f>
        <v>#N/A</v>
      </c>
    </row>
    <row r="306" spans="1:46" ht="61.5" x14ac:dyDescent="0.85">
      <c r="A306" s="20">
        <v>1</v>
      </c>
      <c r="B306" s="66">
        <f>SUBTOTAL(103,$A$22:A306)</f>
        <v>274</v>
      </c>
      <c r="C306" s="24" t="s">
        <v>1272</v>
      </c>
      <c r="D306" s="31">
        <f t="shared" si="78"/>
        <v>3342143.64</v>
      </c>
      <c r="E306" s="38">
        <v>0</v>
      </c>
      <c r="F306" s="38">
        <v>0</v>
      </c>
      <c r="G306" s="31">
        <v>0</v>
      </c>
      <c r="H306" s="38">
        <v>0</v>
      </c>
      <c r="I306" s="38">
        <v>0</v>
      </c>
      <c r="J306" s="38">
        <v>0</v>
      </c>
      <c r="K306" s="33">
        <v>0</v>
      </c>
      <c r="L306" s="31">
        <v>0</v>
      </c>
      <c r="M306" s="31">
        <v>0</v>
      </c>
      <c r="N306" s="31">
        <v>0</v>
      </c>
      <c r="O306" s="38">
        <v>0</v>
      </c>
      <c r="P306" s="38">
        <v>0</v>
      </c>
      <c r="Q306" s="31">
        <v>647.20000000000005</v>
      </c>
      <c r="R306" s="31">
        <v>3292995.68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  <c r="Z306" s="31">
        <v>0</v>
      </c>
      <c r="AA306" s="31">
        <v>0</v>
      </c>
      <c r="AB306" s="31">
        <v>0</v>
      </c>
      <c r="AC306" s="31">
        <f>ROUND(R306*1.4925%,2)</f>
        <v>49147.96</v>
      </c>
      <c r="AD306" s="31">
        <v>0</v>
      </c>
      <c r="AE306" s="31">
        <v>0</v>
      </c>
      <c r="AF306" s="34" t="s">
        <v>274</v>
      </c>
      <c r="AG306" s="34">
        <v>2020</v>
      </c>
      <c r="AH306" s="35">
        <v>2020</v>
      </c>
    </row>
    <row r="307" spans="1:46" ht="61.5" x14ac:dyDescent="0.85">
      <c r="A307" s="20">
        <v>1</v>
      </c>
      <c r="B307" s="66">
        <f>SUBTOTAL(103,$A$22:A307)</f>
        <v>275</v>
      </c>
      <c r="C307" s="24" t="s">
        <v>1273</v>
      </c>
      <c r="D307" s="31">
        <f t="shared" si="78"/>
        <v>3337360.9</v>
      </c>
      <c r="E307" s="38">
        <v>0</v>
      </c>
      <c r="F307" s="38">
        <v>0</v>
      </c>
      <c r="G307" s="31">
        <v>0</v>
      </c>
      <c r="H307" s="38">
        <v>0</v>
      </c>
      <c r="I307" s="38">
        <v>0</v>
      </c>
      <c r="J307" s="38">
        <v>0</v>
      </c>
      <c r="K307" s="33">
        <v>0</v>
      </c>
      <c r="L307" s="31">
        <v>0</v>
      </c>
      <c r="M307" s="31">
        <v>0</v>
      </c>
      <c r="N307" s="31">
        <v>0</v>
      </c>
      <c r="O307" s="38">
        <v>0</v>
      </c>
      <c r="P307" s="38">
        <v>0</v>
      </c>
      <c r="Q307" s="31">
        <v>652.70000000000005</v>
      </c>
      <c r="R307" s="31">
        <v>3288283.27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  <c r="Z307" s="31">
        <v>0</v>
      </c>
      <c r="AA307" s="31">
        <v>0</v>
      </c>
      <c r="AB307" s="31">
        <v>0</v>
      </c>
      <c r="AC307" s="31">
        <f>ROUND(R307*1.4925%,2)</f>
        <v>49077.63</v>
      </c>
      <c r="AD307" s="31">
        <v>0</v>
      </c>
      <c r="AE307" s="31">
        <v>0</v>
      </c>
      <c r="AF307" s="34" t="s">
        <v>274</v>
      </c>
      <c r="AG307" s="34">
        <v>2020</v>
      </c>
      <c r="AH307" s="35">
        <v>2020</v>
      </c>
    </row>
    <row r="308" spans="1:46" ht="61.5" x14ac:dyDescent="0.85">
      <c r="A308" s="20">
        <v>1</v>
      </c>
      <c r="B308" s="66">
        <f>SUBTOTAL(103,$A$22:A308)</f>
        <v>276</v>
      </c>
      <c r="C308" s="24" t="s">
        <v>1274</v>
      </c>
      <c r="D308" s="31">
        <f t="shared" si="78"/>
        <v>1087450.3500000001</v>
      </c>
      <c r="E308" s="38">
        <v>154554.67000000001</v>
      </c>
      <c r="F308" s="38">
        <v>0</v>
      </c>
      <c r="G308" s="31">
        <v>666330.31000000006</v>
      </c>
      <c r="H308" s="38">
        <v>250573.85</v>
      </c>
      <c r="I308" s="38">
        <v>0</v>
      </c>
      <c r="J308" s="38">
        <v>0</v>
      </c>
      <c r="K308" s="33">
        <v>0</v>
      </c>
      <c r="L308" s="31">
        <v>0</v>
      </c>
      <c r="M308" s="31">
        <v>0</v>
      </c>
      <c r="N308" s="31">
        <v>0</v>
      </c>
      <c r="O308" s="38">
        <v>0</v>
      </c>
      <c r="P308" s="38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f>ROUND((E308+F308+G308+H308+I308+J308)*1.4925%,2)</f>
        <v>15991.52</v>
      </c>
      <c r="AD308" s="31">
        <v>0</v>
      </c>
      <c r="AE308" s="31">
        <v>0</v>
      </c>
      <c r="AF308" s="34" t="s">
        <v>274</v>
      </c>
      <c r="AG308" s="34">
        <v>2020</v>
      </c>
      <c r="AH308" s="35">
        <v>2020</v>
      </c>
    </row>
    <row r="309" spans="1:46" ht="61.5" x14ac:dyDescent="0.85">
      <c r="A309" s="20">
        <v>1</v>
      </c>
      <c r="B309" s="66">
        <f>SUBTOTAL(103,$A$22:A309)</f>
        <v>277</v>
      </c>
      <c r="C309" s="24" t="s">
        <v>1275</v>
      </c>
      <c r="D309" s="31">
        <f t="shared" si="78"/>
        <v>3465045.78</v>
      </c>
      <c r="E309" s="38">
        <v>0</v>
      </c>
      <c r="F309" s="38">
        <v>0</v>
      </c>
      <c r="G309" s="31">
        <v>0</v>
      </c>
      <c r="H309" s="38">
        <v>0</v>
      </c>
      <c r="I309" s="38">
        <v>0</v>
      </c>
      <c r="J309" s="38">
        <v>0</v>
      </c>
      <c r="K309" s="33">
        <v>0</v>
      </c>
      <c r="L309" s="31">
        <v>0</v>
      </c>
      <c r="M309" s="31">
        <v>0</v>
      </c>
      <c r="N309" s="31">
        <v>0</v>
      </c>
      <c r="O309" s="38">
        <v>339.3</v>
      </c>
      <c r="P309" s="38">
        <v>3414090.48</v>
      </c>
      <c r="Q309" s="31">
        <v>0</v>
      </c>
      <c r="R309" s="31">
        <v>0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  <c r="AC309" s="31">
        <f>ROUND(P309*1.4925%,2)</f>
        <v>50955.3</v>
      </c>
      <c r="AD309" s="31">
        <v>0</v>
      </c>
      <c r="AE309" s="31">
        <v>0</v>
      </c>
      <c r="AF309" s="34" t="s">
        <v>274</v>
      </c>
      <c r="AG309" s="34">
        <v>2020</v>
      </c>
      <c r="AH309" s="35">
        <v>2020</v>
      </c>
    </row>
    <row r="310" spans="1:46" ht="61.5" x14ac:dyDescent="0.85">
      <c r="B310" s="24" t="s">
        <v>864</v>
      </c>
      <c r="C310" s="24"/>
      <c r="D310" s="31">
        <f>SUM(D311:D315)</f>
        <v>4109300.7899999996</v>
      </c>
      <c r="E310" s="31">
        <f t="shared" ref="E310:AE310" si="80">SUM(E311:E315)</f>
        <v>230449.88</v>
      </c>
      <c r="F310" s="31">
        <f t="shared" si="80"/>
        <v>0</v>
      </c>
      <c r="G310" s="31">
        <f t="shared" si="80"/>
        <v>0</v>
      </c>
      <c r="H310" s="31">
        <f t="shared" si="80"/>
        <v>396684.17000000004</v>
      </c>
      <c r="I310" s="31">
        <f t="shared" si="80"/>
        <v>824985.34</v>
      </c>
      <c r="J310" s="31">
        <f t="shared" si="80"/>
        <v>0</v>
      </c>
      <c r="K310" s="33">
        <f t="shared" si="80"/>
        <v>0</v>
      </c>
      <c r="L310" s="31">
        <f t="shared" si="80"/>
        <v>0</v>
      </c>
      <c r="M310" s="31">
        <f t="shared" si="80"/>
        <v>496</v>
      </c>
      <c r="N310" s="31">
        <f t="shared" si="80"/>
        <v>2369851.8199999998</v>
      </c>
      <c r="O310" s="31">
        <f t="shared" si="80"/>
        <v>0</v>
      </c>
      <c r="P310" s="31">
        <f t="shared" si="80"/>
        <v>0</v>
      </c>
      <c r="Q310" s="31">
        <f t="shared" si="80"/>
        <v>0</v>
      </c>
      <c r="R310" s="31">
        <f t="shared" si="80"/>
        <v>0</v>
      </c>
      <c r="S310" s="31">
        <f t="shared" si="80"/>
        <v>0</v>
      </c>
      <c r="T310" s="31">
        <f t="shared" si="80"/>
        <v>0</v>
      </c>
      <c r="U310" s="31">
        <f t="shared" si="80"/>
        <v>0</v>
      </c>
      <c r="V310" s="31">
        <f t="shared" si="80"/>
        <v>0</v>
      </c>
      <c r="W310" s="31">
        <f t="shared" si="80"/>
        <v>0</v>
      </c>
      <c r="X310" s="31">
        <f t="shared" si="80"/>
        <v>0</v>
      </c>
      <c r="Y310" s="31">
        <f t="shared" si="80"/>
        <v>0</v>
      </c>
      <c r="Z310" s="31">
        <f t="shared" si="80"/>
        <v>0</v>
      </c>
      <c r="AA310" s="31">
        <f t="shared" si="80"/>
        <v>0</v>
      </c>
      <c r="AB310" s="31">
        <f t="shared" si="80"/>
        <v>0</v>
      </c>
      <c r="AC310" s="31">
        <f t="shared" si="80"/>
        <v>57329.579999999994</v>
      </c>
      <c r="AD310" s="31">
        <f t="shared" si="80"/>
        <v>230000</v>
      </c>
      <c r="AE310" s="31">
        <f t="shared" si="80"/>
        <v>0</v>
      </c>
      <c r="AF310" s="72" t="s">
        <v>794</v>
      </c>
      <c r="AG310" s="72" t="s">
        <v>794</v>
      </c>
      <c r="AH310" s="91" t="s">
        <v>794</v>
      </c>
      <c r="AT310" s="20" t="e">
        <f>VLOOKUP(C310,AW:AX,2,FALSE)</f>
        <v>#N/A</v>
      </c>
    </row>
    <row r="311" spans="1:46" ht="61.5" x14ac:dyDescent="0.85">
      <c r="A311" s="20">
        <v>1</v>
      </c>
      <c r="B311" s="66">
        <f>SUBTOTAL(103,$A$22:A311)</f>
        <v>278</v>
      </c>
      <c r="C311" s="24" t="s">
        <v>732</v>
      </c>
      <c r="D311" s="31">
        <f t="shared" ref="D311:D315" si="81">E311+F311+G311+H311+I311+J311+L311+N311+P311+R311+T311+U311+V311+W311+X311+Y311+Z311+AA311+AB311+AC311+AD311+AE311</f>
        <v>2525399.5999999996</v>
      </c>
      <c r="E311" s="38">
        <v>0</v>
      </c>
      <c r="F311" s="38">
        <v>0</v>
      </c>
      <c r="G311" s="31">
        <v>0</v>
      </c>
      <c r="H311" s="38">
        <v>0</v>
      </c>
      <c r="I311" s="38">
        <v>0</v>
      </c>
      <c r="J311" s="38">
        <v>0</v>
      </c>
      <c r="K311" s="33">
        <v>0</v>
      </c>
      <c r="L311" s="31">
        <v>0</v>
      </c>
      <c r="M311" s="31">
        <v>496</v>
      </c>
      <c r="N311" s="31">
        <f>1857534.42+512317.4</f>
        <v>2369851.8199999998</v>
      </c>
      <c r="O311" s="38">
        <v>0</v>
      </c>
      <c r="P311" s="38">
        <v>0</v>
      </c>
      <c r="Q311" s="31">
        <v>0</v>
      </c>
      <c r="R311" s="31">
        <v>0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f>ROUND(N311*1.5%,2)</f>
        <v>35547.78</v>
      </c>
      <c r="AD311" s="31">
        <v>120000</v>
      </c>
      <c r="AE311" s="31">
        <v>0</v>
      </c>
      <c r="AF311" s="34">
        <v>2020</v>
      </c>
      <c r="AG311" s="34">
        <v>2020</v>
      </c>
      <c r="AH311" s="35">
        <v>2020</v>
      </c>
      <c r="AT311" s="20" t="e">
        <f>VLOOKUP(C311,AW:AX,2,FALSE)</f>
        <v>#N/A</v>
      </c>
    </row>
    <row r="312" spans="1:46" ht="61.5" x14ac:dyDescent="0.85">
      <c r="A312" s="20">
        <v>1</v>
      </c>
      <c r="B312" s="66">
        <f>SUBTOTAL(103,$A$22:A312)</f>
        <v>279</v>
      </c>
      <c r="C312" s="24" t="s">
        <v>724</v>
      </c>
      <c r="D312" s="31">
        <f t="shared" si="81"/>
        <v>197764.79</v>
      </c>
      <c r="E312" s="38">
        <v>0</v>
      </c>
      <c r="F312" s="38">
        <v>0</v>
      </c>
      <c r="G312" s="31">
        <v>0</v>
      </c>
      <c r="H312" s="38">
        <v>0</v>
      </c>
      <c r="I312" s="31">
        <f>108960.17+46473.12</f>
        <v>155433.29</v>
      </c>
      <c r="J312" s="38">
        <v>0</v>
      </c>
      <c r="K312" s="33">
        <v>0</v>
      </c>
      <c r="L312" s="31">
        <v>0</v>
      </c>
      <c r="M312" s="31">
        <v>0</v>
      </c>
      <c r="N312" s="31">
        <v>0</v>
      </c>
      <c r="O312" s="38">
        <v>0</v>
      </c>
      <c r="P312" s="38">
        <v>0</v>
      </c>
      <c r="Q312" s="31">
        <v>0</v>
      </c>
      <c r="R312" s="31">
        <v>0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v>0</v>
      </c>
      <c r="Y312" s="31">
        <v>0</v>
      </c>
      <c r="Z312" s="31">
        <v>0</v>
      </c>
      <c r="AA312" s="31">
        <v>0</v>
      </c>
      <c r="AB312" s="31">
        <v>0</v>
      </c>
      <c r="AC312" s="31">
        <f t="shared" ref="AC312:AC313" si="82">ROUND((E312+F312+G312+H312+I312+J312)*1.5%,2)</f>
        <v>2331.5</v>
      </c>
      <c r="AD312" s="31">
        <v>40000</v>
      </c>
      <c r="AE312" s="31">
        <v>0</v>
      </c>
      <c r="AF312" s="34">
        <v>2020</v>
      </c>
      <c r="AG312" s="34">
        <v>2020</v>
      </c>
      <c r="AH312" s="35">
        <v>2020</v>
      </c>
      <c r="AT312" s="20" t="e">
        <f>VLOOKUP(C312,AW:AX,2,FALSE)</f>
        <v>#N/A</v>
      </c>
    </row>
    <row r="313" spans="1:46" ht="61.5" x14ac:dyDescent="0.85">
      <c r="A313" s="20">
        <v>1</v>
      </c>
      <c r="B313" s="66">
        <f>SUBTOTAL(103,$A$22:A313)</f>
        <v>280</v>
      </c>
      <c r="C313" s="24" t="s">
        <v>723</v>
      </c>
      <c r="D313" s="31">
        <f t="shared" si="81"/>
        <v>617736.44999999995</v>
      </c>
      <c r="E313" s="38">
        <v>0</v>
      </c>
      <c r="F313" s="38">
        <v>0</v>
      </c>
      <c r="G313" s="31">
        <v>0</v>
      </c>
      <c r="H313" s="38">
        <v>0</v>
      </c>
      <c r="I313" s="31">
        <v>539641.81999999995</v>
      </c>
      <c r="J313" s="38">
        <v>0</v>
      </c>
      <c r="K313" s="33">
        <v>0</v>
      </c>
      <c r="L313" s="31">
        <v>0</v>
      </c>
      <c r="M313" s="31">
        <v>0</v>
      </c>
      <c r="N313" s="31">
        <v>0</v>
      </c>
      <c r="O313" s="38">
        <v>0</v>
      </c>
      <c r="P313" s="38">
        <v>0</v>
      </c>
      <c r="Q313" s="31">
        <v>0</v>
      </c>
      <c r="R313" s="31">
        <v>0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v>0</v>
      </c>
      <c r="Y313" s="31">
        <v>0</v>
      </c>
      <c r="Z313" s="31">
        <v>0</v>
      </c>
      <c r="AA313" s="31">
        <v>0</v>
      </c>
      <c r="AB313" s="31">
        <v>0</v>
      </c>
      <c r="AC313" s="31">
        <f t="shared" si="82"/>
        <v>8094.63</v>
      </c>
      <c r="AD313" s="31">
        <v>70000</v>
      </c>
      <c r="AE313" s="31">
        <v>0</v>
      </c>
      <c r="AF313" s="34">
        <v>2020</v>
      </c>
      <c r="AG313" s="34">
        <v>2020</v>
      </c>
      <c r="AH313" s="35">
        <v>2020</v>
      </c>
      <c r="AT313" s="20" t="e">
        <f>VLOOKUP(C313,AW:AX,2,FALSE)</f>
        <v>#N/A</v>
      </c>
    </row>
    <row r="314" spans="1:46" ht="61.5" x14ac:dyDescent="0.85">
      <c r="A314" s="20">
        <v>1</v>
      </c>
      <c r="B314" s="66">
        <f>SUBTOTAL(103,$A$22:A314)</f>
        <v>281</v>
      </c>
      <c r="C314" s="24" t="s">
        <v>1280</v>
      </c>
      <c r="D314" s="31">
        <f t="shared" si="81"/>
        <v>556946.59000000008</v>
      </c>
      <c r="E314" s="38">
        <v>230449.88</v>
      </c>
      <c r="F314" s="38">
        <v>0</v>
      </c>
      <c r="G314" s="31">
        <v>0</v>
      </c>
      <c r="H314" s="38">
        <v>318265.97000000003</v>
      </c>
      <c r="I314" s="38">
        <v>0</v>
      </c>
      <c r="J314" s="38">
        <v>0</v>
      </c>
      <c r="K314" s="33">
        <v>0</v>
      </c>
      <c r="L314" s="31">
        <v>0</v>
      </c>
      <c r="M314" s="31">
        <v>0</v>
      </c>
      <c r="N314" s="31">
        <v>0</v>
      </c>
      <c r="O314" s="38">
        <v>0</v>
      </c>
      <c r="P314" s="38">
        <v>0</v>
      </c>
      <c r="Q314" s="31">
        <v>0</v>
      </c>
      <c r="R314" s="31">
        <v>0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v>0</v>
      </c>
      <c r="Y314" s="31">
        <v>0</v>
      </c>
      <c r="Z314" s="31">
        <v>0</v>
      </c>
      <c r="AA314" s="31">
        <v>0</v>
      </c>
      <c r="AB314" s="31">
        <v>0</v>
      </c>
      <c r="AC314" s="31">
        <f t="shared" ref="AC314:AC315" si="83">ROUND((E314+F314+G314+H314+I314+J314)*1.5%,2)</f>
        <v>8230.74</v>
      </c>
      <c r="AD314" s="31">
        <v>0</v>
      </c>
      <c r="AE314" s="31">
        <v>0</v>
      </c>
      <c r="AF314" s="34" t="s">
        <v>274</v>
      </c>
      <c r="AG314" s="34">
        <v>2020</v>
      </c>
      <c r="AH314" s="35">
        <v>2020</v>
      </c>
    </row>
    <row r="315" spans="1:46" ht="61.5" x14ac:dyDescent="0.85">
      <c r="A315" s="20">
        <v>1</v>
      </c>
      <c r="B315" s="66">
        <f>SUBTOTAL(103,$A$22:A315)</f>
        <v>282</v>
      </c>
      <c r="C315" s="24" t="s">
        <v>1281</v>
      </c>
      <c r="D315" s="31">
        <f t="shared" si="81"/>
        <v>211453.36</v>
      </c>
      <c r="E315" s="38">
        <v>0</v>
      </c>
      <c r="F315" s="38">
        <v>0</v>
      </c>
      <c r="G315" s="31">
        <v>0</v>
      </c>
      <c r="H315" s="38">
        <v>78418.2</v>
      </c>
      <c r="I315" s="38">
        <v>129910.23</v>
      </c>
      <c r="J315" s="38">
        <v>0</v>
      </c>
      <c r="K315" s="33">
        <v>0</v>
      </c>
      <c r="L315" s="31">
        <v>0</v>
      </c>
      <c r="M315" s="31">
        <v>0</v>
      </c>
      <c r="N315" s="31">
        <v>0</v>
      </c>
      <c r="O315" s="38">
        <v>0</v>
      </c>
      <c r="P315" s="38">
        <v>0</v>
      </c>
      <c r="Q315" s="31">
        <v>0</v>
      </c>
      <c r="R315" s="31">
        <v>0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  <c r="AC315" s="31">
        <f t="shared" si="83"/>
        <v>3124.93</v>
      </c>
      <c r="AD315" s="31">
        <v>0</v>
      </c>
      <c r="AE315" s="31">
        <v>0</v>
      </c>
      <c r="AF315" s="34" t="s">
        <v>274</v>
      </c>
      <c r="AG315" s="34">
        <v>2020</v>
      </c>
      <c r="AH315" s="35">
        <v>2020</v>
      </c>
    </row>
    <row r="316" spans="1:46" ht="61.5" x14ac:dyDescent="0.85">
      <c r="B316" s="24" t="s">
        <v>865</v>
      </c>
      <c r="C316" s="24"/>
      <c r="D316" s="31">
        <f>D317</f>
        <v>3674943.51</v>
      </c>
      <c r="E316" s="31">
        <f t="shared" ref="E316:AE316" si="84">E317</f>
        <v>0</v>
      </c>
      <c r="F316" s="31">
        <f t="shared" si="84"/>
        <v>0</v>
      </c>
      <c r="G316" s="31">
        <f t="shared" si="84"/>
        <v>0</v>
      </c>
      <c r="H316" s="31">
        <f t="shared" si="84"/>
        <v>0</v>
      </c>
      <c r="I316" s="31">
        <f t="shared" si="84"/>
        <v>0</v>
      </c>
      <c r="J316" s="31">
        <f t="shared" si="84"/>
        <v>0</v>
      </c>
      <c r="K316" s="33">
        <f t="shared" si="84"/>
        <v>0</v>
      </c>
      <c r="L316" s="31">
        <f t="shared" si="84"/>
        <v>0</v>
      </c>
      <c r="M316" s="31">
        <f t="shared" si="84"/>
        <v>701.9</v>
      </c>
      <c r="N316" s="31">
        <f t="shared" si="84"/>
        <v>3472850.75</v>
      </c>
      <c r="O316" s="31">
        <f t="shared" si="84"/>
        <v>0</v>
      </c>
      <c r="P316" s="31">
        <f t="shared" si="84"/>
        <v>0</v>
      </c>
      <c r="Q316" s="31">
        <f t="shared" si="84"/>
        <v>0</v>
      </c>
      <c r="R316" s="31">
        <f t="shared" si="84"/>
        <v>0</v>
      </c>
      <c r="S316" s="31">
        <f t="shared" si="84"/>
        <v>0</v>
      </c>
      <c r="T316" s="31">
        <f t="shared" si="84"/>
        <v>0</v>
      </c>
      <c r="U316" s="31">
        <f t="shared" si="84"/>
        <v>0</v>
      </c>
      <c r="V316" s="31">
        <f t="shared" si="84"/>
        <v>0</v>
      </c>
      <c r="W316" s="31">
        <f t="shared" si="84"/>
        <v>0</v>
      </c>
      <c r="X316" s="31">
        <f t="shared" si="84"/>
        <v>0</v>
      </c>
      <c r="Y316" s="31">
        <f t="shared" si="84"/>
        <v>0</v>
      </c>
      <c r="Z316" s="31">
        <f t="shared" si="84"/>
        <v>0</v>
      </c>
      <c r="AA316" s="31">
        <f t="shared" si="84"/>
        <v>0</v>
      </c>
      <c r="AB316" s="31">
        <f t="shared" si="84"/>
        <v>0</v>
      </c>
      <c r="AC316" s="31">
        <f t="shared" si="84"/>
        <v>52092.76</v>
      </c>
      <c r="AD316" s="31">
        <f t="shared" si="84"/>
        <v>150000</v>
      </c>
      <c r="AE316" s="31">
        <f t="shared" si="84"/>
        <v>0</v>
      </c>
      <c r="AF316" s="72" t="s">
        <v>794</v>
      </c>
      <c r="AG316" s="72" t="s">
        <v>794</v>
      </c>
      <c r="AH316" s="91" t="s">
        <v>794</v>
      </c>
      <c r="AT316" s="20" t="e">
        <f t="shared" ref="AT316:AT326" si="85">VLOOKUP(C316,AW:AX,2,FALSE)</f>
        <v>#N/A</v>
      </c>
    </row>
    <row r="317" spans="1:46" ht="61.5" x14ac:dyDescent="0.85">
      <c r="A317" s="20">
        <v>1</v>
      </c>
      <c r="B317" s="66">
        <f>SUBTOTAL(103,$A$22:A317)</f>
        <v>283</v>
      </c>
      <c r="C317" s="24" t="s">
        <v>721</v>
      </c>
      <c r="D317" s="31">
        <f t="shared" ref="D317" si="86">E317+F317+G317+H317+I317+J317+L317+N317+P317+R317+T317+U317+V317+W317+X317+Y317+Z317+AA317+AB317+AC317+AD317+AE317</f>
        <v>3674943.51</v>
      </c>
      <c r="E317" s="38">
        <v>0</v>
      </c>
      <c r="F317" s="38">
        <v>0</v>
      </c>
      <c r="G317" s="31">
        <v>0</v>
      </c>
      <c r="H317" s="38">
        <v>0</v>
      </c>
      <c r="I317" s="38">
        <v>0</v>
      </c>
      <c r="J317" s="38">
        <v>0</v>
      </c>
      <c r="K317" s="33">
        <v>0</v>
      </c>
      <c r="L317" s="31">
        <v>0</v>
      </c>
      <c r="M317" s="31">
        <v>701.9</v>
      </c>
      <c r="N317" s="31">
        <f>2657253.18+813796.71+1800.86</f>
        <v>3472850.75</v>
      </c>
      <c r="O317" s="38">
        <v>0</v>
      </c>
      <c r="P317" s="38">
        <v>0</v>
      </c>
      <c r="Q317" s="31">
        <v>0</v>
      </c>
      <c r="R317" s="31">
        <v>0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  <c r="AC317" s="31">
        <f>ROUND(N317*1.5%,2)</f>
        <v>52092.76</v>
      </c>
      <c r="AD317" s="31">
        <v>150000</v>
      </c>
      <c r="AE317" s="31">
        <v>0</v>
      </c>
      <c r="AF317" s="34">
        <v>2020</v>
      </c>
      <c r="AG317" s="34">
        <v>2020</v>
      </c>
      <c r="AH317" s="35">
        <v>2020</v>
      </c>
      <c r="AT317" s="20" t="e">
        <f t="shared" si="85"/>
        <v>#N/A</v>
      </c>
    </row>
    <row r="318" spans="1:46" ht="61.5" x14ac:dyDescent="0.85">
      <c r="B318" s="24" t="s">
        <v>866</v>
      </c>
      <c r="C318" s="24"/>
      <c r="D318" s="31">
        <f>SUM(D319:D335)</f>
        <v>50473058.759999998</v>
      </c>
      <c r="E318" s="31">
        <f t="shared" ref="E318:AE318" si="87">SUM(E319:E335)</f>
        <v>0</v>
      </c>
      <c r="F318" s="31">
        <f t="shared" si="87"/>
        <v>0</v>
      </c>
      <c r="G318" s="31">
        <f t="shared" si="87"/>
        <v>0</v>
      </c>
      <c r="H318" s="31">
        <f t="shared" si="87"/>
        <v>0</v>
      </c>
      <c r="I318" s="31">
        <f t="shared" si="87"/>
        <v>0</v>
      </c>
      <c r="J318" s="31">
        <f t="shared" si="87"/>
        <v>0</v>
      </c>
      <c r="K318" s="33">
        <f t="shared" si="87"/>
        <v>9</v>
      </c>
      <c r="L318" s="31">
        <f t="shared" si="87"/>
        <v>17262116.5</v>
      </c>
      <c r="M318" s="31">
        <f t="shared" si="87"/>
        <v>5485.7999999999993</v>
      </c>
      <c r="N318" s="31">
        <f t="shared" si="87"/>
        <v>26120898.190000001</v>
      </c>
      <c r="O318" s="31">
        <f t="shared" si="87"/>
        <v>0</v>
      </c>
      <c r="P318" s="31">
        <f t="shared" si="87"/>
        <v>0</v>
      </c>
      <c r="Q318" s="31">
        <f t="shared" si="87"/>
        <v>1525.24</v>
      </c>
      <c r="R318" s="31">
        <f t="shared" si="87"/>
        <v>4936345.04</v>
      </c>
      <c r="S318" s="31">
        <f t="shared" si="87"/>
        <v>0</v>
      </c>
      <c r="T318" s="31">
        <f t="shared" si="87"/>
        <v>0</v>
      </c>
      <c r="U318" s="31">
        <f t="shared" si="87"/>
        <v>0</v>
      </c>
      <c r="V318" s="31">
        <f t="shared" si="87"/>
        <v>0</v>
      </c>
      <c r="W318" s="31">
        <f t="shared" si="87"/>
        <v>0</v>
      </c>
      <c r="X318" s="31">
        <f t="shared" si="87"/>
        <v>0</v>
      </c>
      <c r="Y318" s="31">
        <f t="shared" si="87"/>
        <v>0</v>
      </c>
      <c r="Z318" s="31">
        <f t="shared" si="87"/>
        <v>0</v>
      </c>
      <c r="AA318" s="31">
        <f t="shared" si="87"/>
        <v>0</v>
      </c>
      <c r="AB318" s="31">
        <f t="shared" si="87"/>
        <v>0</v>
      </c>
      <c r="AC318" s="31">
        <f t="shared" si="87"/>
        <v>465858.65</v>
      </c>
      <c r="AD318" s="31">
        <f t="shared" si="87"/>
        <v>1087840.3799999999</v>
      </c>
      <c r="AE318" s="31">
        <f t="shared" si="87"/>
        <v>600000</v>
      </c>
      <c r="AF318" s="72" t="s">
        <v>794</v>
      </c>
      <c r="AG318" s="72" t="s">
        <v>794</v>
      </c>
      <c r="AH318" s="91" t="s">
        <v>794</v>
      </c>
      <c r="AT318" s="20" t="e">
        <f t="shared" si="85"/>
        <v>#N/A</v>
      </c>
    </row>
    <row r="319" spans="1:46" ht="61.5" x14ac:dyDescent="0.85">
      <c r="A319" s="20">
        <v>1</v>
      </c>
      <c r="B319" s="66">
        <f>SUBTOTAL(103,$A$22:A319)</f>
        <v>284</v>
      </c>
      <c r="C319" s="24" t="s">
        <v>725</v>
      </c>
      <c r="D319" s="31">
        <f t="shared" ref="D319:D335" si="88">E319+F319+G319+H319+I319+J319+L319+N319+P319+R319+T319+U319+V319+W319+X319+Y319+Z319+AA319+AB319+AC319+AD319+AE319</f>
        <v>3681369</v>
      </c>
      <c r="E319" s="38">
        <v>0</v>
      </c>
      <c r="F319" s="38">
        <v>0</v>
      </c>
      <c r="G319" s="31">
        <v>0</v>
      </c>
      <c r="H319" s="38">
        <v>0</v>
      </c>
      <c r="I319" s="38">
        <v>0</v>
      </c>
      <c r="J319" s="38">
        <v>0</v>
      </c>
      <c r="K319" s="33">
        <v>0</v>
      </c>
      <c r="L319" s="31">
        <v>0</v>
      </c>
      <c r="M319" s="31">
        <v>705</v>
      </c>
      <c r="N319" s="31">
        <v>3479181.28</v>
      </c>
      <c r="O319" s="38">
        <v>0</v>
      </c>
      <c r="P319" s="38">
        <v>0</v>
      </c>
      <c r="Q319" s="31">
        <v>0</v>
      </c>
      <c r="R319" s="31">
        <v>0</v>
      </c>
      <c r="S319" s="31">
        <v>0</v>
      </c>
      <c r="T319" s="31">
        <v>0</v>
      </c>
      <c r="U319" s="31">
        <v>0</v>
      </c>
      <c r="V319" s="31">
        <v>0</v>
      </c>
      <c r="W319" s="31">
        <v>0</v>
      </c>
      <c r="X319" s="31">
        <v>0</v>
      </c>
      <c r="Y319" s="31">
        <v>0</v>
      </c>
      <c r="Z319" s="31">
        <v>0</v>
      </c>
      <c r="AA319" s="31">
        <v>0</v>
      </c>
      <c r="AB319" s="31">
        <v>0</v>
      </c>
      <c r="AC319" s="31">
        <f t="shared" ref="AC319:AC320" si="89">ROUND(N319*1.5%,2)</f>
        <v>52187.72</v>
      </c>
      <c r="AD319" s="31">
        <v>150000</v>
      </c>
      <c r="AE319" s="31">
        <v>0</v>
      </c>
      <c r="AF319" s="34">
        <v>2020</v>
      </c>
      <c r="AG319" s="34">
        <v>2020</v>
      </c>
      <c r="AH319" s="35">
        <v>2020</v>
      </c>
      <c r="AT319" s="20" t="e">
        <f t="shared" si="85"/>
        <v>#N/A</v>
      </c>
    </row>
    <row r="320" spans="1:46" ht="61.5" x14ac:dyDescent="0.85">
      <c r="A320" s="20">
        <v>1</v>
      </c>
      <c r="B320" s="66">
        <f>SUBTOTAL(103,$A$22:A320)</f>
        <v>285</v>
      </c>
      <c r="C320" s="24" t="s">
        <v>709</v>
      </c>
      <c r="D320" s="31">
        <f t="shared" si="88"/>
        <v>3924195.01</v>
      </c>
      <c r="E320" s="38">
        <v>0</v>
      </c>
      <c r="F320" s="38">
        <v>0</v>
      </c>
      <c r="G320" s="31">
        <v>0</v>
      </c>
      <c r="H320" s="38">
        <v>0</v>
      </c>
      <c r="I320" s="38">
        <v>0</v>
      </c>
      <c r="J320" s="38">
        <v>0</v>
      </c>
      <c r="K320" s="33">
        <v>0</v>
      </c>
      <c r="L320" s="31">
        <v>0</v>
      </c>
      <c r="M320" s="31">
        <v>795</v>
      </c>
      <c r="N320" s="31">
        <f>2827830.09+890588.64</f>
        <v>3718418.73</v>
      </c>
      <c r="O320" s="38">
        <v>0</v>
      </c>
      <c r="P320" s="38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  <c r="V320" s="31">
        <v>0</v>
      </c>
      <c r="W320" s="31">
        <v>0</v>
      </c>
      <c r="X320" s="31">
        <v>0</v>
      </c>
      <c r="Y320" s="31">
        <v>0</v>
      </c>
      <c r="Z320" s="31">
        <v>0</v>
      </c>
      <c r="AA320" s="31">
        <v>0</v>
      </c>
      <c r="AB320" s="31">
        <v>0</v>
      </c>
      <c r="AC320" s="31">
        <f t="shared" si="89"/>
        <v>55776.28</v>
      </c>
      <c r="AD320" s="31">
        <v>150000</v>
      </c>
      <c r="AE320" s="31">
        <v>0</v>
      </c>
      <c r="AF320" s="34">
        <v>2020</v>
      </c>
      <c r="AG320" s="34">
        <v>2020</v>
      </c>
      <c r="AH320" s="35">
        <v>2020</v>
      </c>
      <c r="AT320" s="20" t="e">
        <f t="shared" si="85"/>
        <v>#N/A</v>
      </c>
    </row>
    <row r="321" spans="1:46" ht="61.5" x14ac:dyDescent="0.85">
      <c r="A321" s="20">
        <v>1</v>
      </c>
      <c r="B321" s="66">
        <f>SUBTOTAL(103,$A$22:A321)</f>
        <v>286</v>
      </c>
      <c r="C321" s="24" t="s">
        <v>704</v>
      </c>
      <c r="D321" s="31">
        <f t="shared" si="88"/>
        <v>1863988.34</v>
      </c>
      <c r="E321" s="38">
        <v>0</v>
      </c>
      <c r="F321" s="38">
        <v>0</v>
      </c>
      <c r="G321" s="31">
        <v>0</v>
      </c>
      <c r="H321" s="38">
        <v>0</v>
      </c>
      <c r="I321" s="38">
        <v>0</v>
      </c>
      <c r="J321" s="38">
        <v>0</v>
      </c>
      <c r="K321" s="33">
        <v>1</v>
      </c>
      <c r="L321" s="31">
        <f>1907413-143424.66</f>
        <v>1763988.34</v>
      </c>
      <c r="M321" s="31">
        <v>0</v>
      </c>
      <c r="N321" s="31">
        <v>0</v>
      </c>
      <c r="O321" s="38">
        <v>0</v>
      </c>
      <c r="P321" s="38">
        <v>0</v>
      </c>
      <c r="Q321" s="31">
        <v>0</v>
      </c>
      <c r="R321" s="31">
        <v>0</v>
      </c>
      <c r="S321" s="31">
        <v>0</v>
      </c>
      <c r="T321" s="31">
        <v>0</v>
      </c>
      <c r="U321" s="31">
        <v>0</v>
      </c>
      <c r="V321" s="31">
        <v>0</v>
      </c>
      <c r="W321" s="31">
        <v>0</v>
      </c>
      <c r="X321" s="31">
        <v>0</v>
      </c>
      <c r="Y321" s="31">
        <v>0</v>
      </c>
      <c r="Z321" s="31">
        <v>0</v>
      </c>
      <c r="AA321" s="31">
        <v>0</v>
      </c>
      <c r="AB321" s="31">
        <v>0</v>
      </c>
      <c r="AC321" s="31">
        <v>0</v>
      </c>
      <c r="AD321" s="31">
        <v>100000</v>
      </c>
      <c r="AE321" s="31">
        <v>0</v>
      </c>
      <c r="AF321" s="34">
        <v>2020</v>
      </c>
      <c r="AG321" s="34">
        <v>2020</v>
      </c>
      <c r="AH321" s="35" t="s">
        <v>274</v>
      </c>
      <c r="AT321" s="20" t="e">
        <f t="shared" si="85"/>
        <v>#N/A</v>
      </c>
    </row>
    <row r="322" spans="1:46" ht="61.5" x14ac:dyDescent="0.85">
      <c r="A322" s="20">
        <v>1</v>
      </c>
      <c r="B322" s="66">
        <f>SUBTOTAL(103,$A$22:A322)</f>
        <v>287</v>
      </c>
      <c r="C322" s="24" t="s">
        <v>705</v>
      </c>
      <c r="D322" s="31">
        <f t="shared" si="88"/>
        <v>1863988.34</v>
      </c>
      <c r="E322" s="38">
        <v>0</v>
      </c>
      <c r="F322" s="38">
        <v>0</v>
      </c>
      <c r="G322" s="31">
        <v>0</v>
      </c>
      <c r="H322" s="38">
        <v>0</v>
      </c>
      <c r="I322" s="38">
        <v>0</v>
      </c>
      <c r="J322" s="38">
        <v>0</v>
      </c>
      <c r="K322" s="33">
        <v>1</v>
      </c>
      <c r="L322" s="31">
        <f>1907413-143424.66</f>
        <v>1763988.34</v>
      </c>
      <c r="M322" s="31">
        <v>0</v>
      </c>
      <c r="N322" s="31">
        <v>0</v>
      </c>
      <c r="O322" s="38">
        <v>0</v>
      </c>
      <c r="P322" s="38">
        <v>0</v>
      </c>
      <c r="Q322" s="31">
        <v>0</v>
      </c>
      <c r="R322" s="31">
        <v>0</v>
      </c>
      <c r="S322" s="31">
        <v>0</v>
      </c>
      <c r="T322" s="31">
        <v>0</v>
      </c>
      <c r="U322" s="31">
        <v>0</v>
      </c>
      <c r="V322" s="31">
        <v>0</v>
      </c>
      <c r="W322" s="31">
        <v>0</v>
      </c>
      <c r="X322" s="31">
        <v>0</v>
      </c>
      <c r="Y322" s="31">
        <v>0</v>
      </c>
      <c r="Z322" s="31">
        <v>0</v>
      </c>
      <c r="AA322" s="31">
        <v>0</v>
      </c>
      <c r="AB322" s="31">
        <v>0</v>
      </c>
      <c r="AC322" s="31">
        <v>0</v>
      </c>
      <c r="AD322" s="31">
        <v>100000</v>
      </c>
      <c r="AE322" s="31">
        <v>0</v>
      </c>
      <c r="AF322" s="34">
        <v>2020</v>
      </c>
      <c r="AG322" s="34">
        <v>2020</v>
      </c>
      <c r="AH322" s="35" t="s">
        <v>274</v>
      </c>
      <c r="AT322" s="20" t="e">
        <f t="shared" si="85"/>
        <v>#N/A</v>
      </c>
    </row>
    <row r="323" spans="1:46" ht="61.5" x14ac:dyDescent="0.85">
      <c r="A323" s="20">
        <v>1</v>
      </c>
      <c r="B323" s="66">
        <f>SUBTOTAL(103,$A$22:A323)</f>
        <v>288</v>
      </c>
      <c r="C323" s="24" t="s">
        <v>706</v>
      </c>
      <c r="D323" s="31">
        <f t="shared" si="88"/>
        <v>1863988.32</v>
      </c>
      <c r="E323" s="38">
        <v>0</v>
      </c>
      <c r="F323" s="38">
        <v>0</v>
      </c>
      <c r="G323" s="31">
        <v>0</v>
      </c>
      <c r="H323" s="38">
        <v>0</v>
      </c>
      <c r="I323" s="38">
        <v>0</v>
      </c>
      <c r="J323" s="38">
        <v>0</v>
      </c>
      <c r="K323" s="33">
        <v>1</v>
      </c>
      <c r="L323" s="31">
        <f>1907413-143424.68</f>
        <v>1763988.32</v>
      </c>
      <c r="M323" s="31">
        <v>0</v>
      </c>
      <c r="N323" s="31">
        <v>0</v>
      </c>
      <c r="O323" s="38">
        <v>0</v>
      </c>
      <c r="P323" s="38">
        <v>0</v>
      </c>
      <c r="Q323" s="31">
        <v>0</v>
      </c>
      <c r="R323" s="31">
        <v>0</v>
      </c>
      <c r="S323" s="31">
        <v>0</v>
      </c>
      <c r="T323" s="31">
        <v>0</v>
      </c>
      <c r="U323" s="31">
        <v>0</v>
      </c>
      <c r="V323" s="31">
        <v>0</v>
      </c>
      <c r="W323" s="31">
        <v>0</v>
      </c>
      <c r="X323" s="31">
        <v>0</v>
      </c>
      <c r="Y323" s="31">
        <v>0</v>
      </c>
      <c r="Z323" s="31">
        <v>0</v>
      </c>
      <c r="AA323" s="31">
        <v>0</v>
      </c>
      <c r="AB323" s="31">
        <v>0</v>
      </c>
      <c r="AC323" s="31">
        <v>0</v>
      </c>
      <c r="AD323" s="31">
        <v>100000</v>
      </c>
      <c r="AE323" s="31">
        <v>0</v>
      </c>
      <c r="AF323" s="34">
        <v>2020</v>
      </c>
      <c r="AG323" s="34">
        <v>2020</v>
      </c>
      <c r="AH323" s="35" t="s">
        <v>274</v>
      </c>
      <c r="AT323" s="20" t="e">
        <f t="shared" si="85"/>
        <v>#N/A</v>
      </c>
    </row>
    <row r="324" spans="1:46" ht="61.5" x14ac:dyDescent="0.85">
      <c r="A324" s="20">
        <v>1</v>
      </c>
      <c r="B324" s="66">
        <f>SUBTOTAL(103,$A$22:A324)</f>
        <v>289</v>
      </c>
      <c r="C324" s="24" t="s">
        <v>699</v>
      </c>
      <c r="D324" s="31">
        <f t="shared" si="88"/>
        <v>4445100</v>
      </c>
      <c r="E324" s="38">
        <v>0</v>
      </c>
      <c r="F324" s="38">
        <v>0</v>
      </c>
      <c r="G324" s="31">
        <v>0</v>
      </c>
      <c r="H324" s="38">
        <v>0</v>
      </c>
      <c r="I324" s="38">
        <v>0</v>
      </c>
      <c r="J324" s="38">
        <v>0</v>
      </c>
      <c r="K324" s="33">
        <v>2</v>
      </c>
      <c r="L324" s="31">
        <v>4345100</v>
      </c>
      <c r="M324" s="31">
        <v>0</v>
      </c>
      <c r="N324" s="31">
        <v>0</v>
      </c>
      <c r="O324" s="38">
        <v>0</v>
      </c>
      <c r="P324" s="38">
        <v>0</v>
      </c>
      <c r="Q324" s="31">
        <v>0</v>
      </c>
      <c r="R324" s="31">
        <v>0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  <c r="AC324" s="31">
        <v>0</v>
      </c>
      <c r="AD324" s="31">
        <v>100000</v>
      </c>
      <c r="AE324" s="31">
        <v>0</v>
      </c>
      <c r="AF324" s="34">
        <v>2020</v>
      </c>
      <c r="AG324" s="34">
        <v>2020</v>
      </c>
      <c r="AH324" s="35" t="s">
        <v>274</v>
      </c>
      <c r="AT324" s="20" t="e">
        <f t="shared" si="85"/>
        <v>#N/A</v>
      </c>
    </row>
    <row r="325" spans="1:46" ht="61.5" x14ac:dyDescent="0.85">
      <c r="A325" s="20">
        <v>1</v>
      </c>
      <c r="B325" s="66">
        <f>SUBTOTAL(103,$A$22:A325)</f>
        <v>290</v>
      </c>
      <c r="C325" s="24" t="s">
        <v>712</v>
      </c>
      <c r="D325" s="31">
        <f t="shared" si="88"/>
        <v>2717424.7199999997</v>
      </c>
      <c r="E325" s="38">
        <v>0</v>
      </c>
      <c r="F325" s="38">
        <v>0</v>
      </c>
      <c r="G325" s="31">
        <v>0</v>
      </c>
      <c r="H325" s="38">
        <v>0</v>
      </c>
      <c r="I325" s="38">
        <v>0</v>
      </c>
      <c r="J325" s="38">
        <v>0</v>
      </c>
      <c r="K325" s="33">
        <v>0</v>
      </c>
      <c r="L325" s="31">
        <v>0</v>
      </c>
      <c r="M325" s="31">
        <v>520.4</v>
      </c>
      <c r="N325" s="31">
        <f>2529482.48-118226.6</f>
        <v>2411255.88</v>
      </c>
      <c r="O325" s="38">
        <v>0</v>
      </c>
      <c r="P325" s="38">
        <v>0</v>
      </c>
      <c r="Q325" s="31">
        <v>0</v>
      </c>
      <c r="R325" s="31">
        <v>0</v>
      </c>
      <c r="S325" s="31">
        <v>0</v>
      </c>
      <c r="T325" s="31">
        <v>0</v>
      </c>
      <c r="U325" s="31">
        <v>0</v>
      </c>
      <c r="V325" s="31">
        <v>0</v>
      </c>
      <c r="W325" s="31">
        <v>0</v>
      </c>
      <c r="X325" s="31">
        <v>0</v>
      </c>
      <c r="Y325" s="31">
        <v>0</v>
      </c>
      <c r="Z325" s="31">
        <v>0</v>
      </c>
      <c r="AA325" s="31">
        <v>0</v>
      </c>
      <c r="AB325" s="31">
        <v>0</v>
      </c>
      <c r="AC325" s="31">
        <f t="shared" ref="AC325:AC326" si="90">ROUND(N325*1.5%,2)</f>
        <v>36168.839999999997</v>
      </c>
      <c r="AD325" s="31">
        <v>150000</v>
      </c>
      <c r="AE325" s="31">
        <v>120000</v>
      </c>
      <c r="AF325" s="34">
        <v>2020</v>
      </c>
      <c r="AG325" s="34">
        <v>2020</v>
      </c>
      <c r="AH325" s="35">
        <v>2020</v>
      </c>
      <c r="AT325" s="20" t="e">
        <f t="shared" si="85"/>
        <v>#N/A</v>
      </c>
    </row>
    <row r="326" spans="1:46" ht="61.5" x14ac:dyDescent="0.85">
      <c r="A326" s="20">
        <v>1</v>
      </c>
      <c r="B326" s="66">
        <f>SUBTOTAL(103,$A$22:A326)</f>
        <v>291</v>
      </c>
      <c r="C326" s="24" t="s">
        <v>700</v>
      </c>
      <c r="D326" s="31">
        <f t="shared" si="88"/>
        <v>3885966.56</v>
      </c>
      <c r="E326" s="38">
        <v>0</v>
      </c>
      <c r="F326" s="38">
        <v>0</v>
      </c>
      <c r="G326" s="31">
        <v>0</v>
      </c>
      <c r="H326" s="38">
        <v>0</v>
      </c>
      <c r="I326" s="38">
        <v>0</v>
      </c>
      <c r="J326" s="38">
        <v>0</v>
      </c>
      <c r="K326" s="33">
        <v>0</v>
      </c>
      <c r="L326" s="31">
        <v>0</v>
      </c>
      <c r="M326" s="31">
        <v>758.8</v>
      </c>
      <c r="N326" s="31">
        <v>3680755.23</v>
      </c>
      <c r="O326" s="38">
        <v>0</v>
      </c>
      <c r="P326" s="38">
        <v>0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1">
        <v>0</v>
      </c>
      <c r="Y326" s="31">
        <v>0</v>
      </c>
      <c r="Z326" s="31">
        <v>0</v>
      </c>
      <c r="AA326" s="31">
        <v>0</v>
      </c>
      <c r="AB326" s="31">
        <v>0</v>
      </c>
      <c r="AC326" s="31">
        <f t="shared" si="90"/>
        <v>55211.33</v>
      </c>
      <c r="AD326" s="31">
        <v>150000</v>
      </c>
      <c r="AE326" s="31">
        <v>0</v>
      </c>
      <c r="AF326" s="34">
        <v>2020</v>
      </c>
      <c r="AG326" s="34">
        <v>2020</v>
      </c>
      <c r="AH326" s="35">
        <v>2020</v>
      </c>
      <c r="AT326" s="20" t="e">
        <f t="shared" si="85"/>
        <v>#N/A</v>
      </c>
    </row>
    <row r="327" spans="1:46" ht="61.5" x14ac:dyDescent="0.85">
      <c r="A327" s="20">
        <v>1</v>
      </c>
      <c r="B327" s="66">
        <f>SUBTOTAL(103,$A$22:A327)</f>
        <v>292</v>
      </c>
      <c r="C327" s="24" t="s">
        <v>696</v>
      </c>
      <c r="D327" s="31">
        <f t="shared" si="88"/>
        <v>2213600.19</v>
      </c>
      <c r="E327" s="38">
        <v>0</v>
      </c>
      <c r="F327" s="38">
        <v>0</v>
      </c>
      <c r="G327" s="31">
        <v>0</v>
      </c>
      <c r="H327" s="38">
        <v>0</v>
      </c>
      <c r="I327" s="38">
        <v>0</v>
      </c>
      <c r="J327" s="38">
        <v>0</v>
      </c>
      <c r="K327" s="33">
        <v>0</v>
      </c>
      <c r="L327" s="31">
        <v>0</v>
      </c>
      <c r="M327" s="31">
        <v>0</v>
      </c>
      <c r="N327" s="31">
        <v>0</v>
      </c>
      <c r="O327" s="38">
        <v>0</v>
      </c>
      <c r="P327" s="38">
        <v>0</v>
      </c>
      <c r="Q327" s="31">
        <v>719.43</v>
      </c>
      <c r="R327" s="31">
        <f>2079598.77+101288.12</f>
        <v>2180886.89</v>
      </c>
      <c r="S327" s="31">
        <v>0</v>
      </c>
      <c r="T327" s="31">
        <v>0</v>
      </c>
      <c r="U327" s="31">
        <v>0</v>
      </c>
      <c r="V327" s="31">
        <v>0</v>
      </c>
      <c r="W327" s="31">
        <v>0</v>
      </c>
      <c r="X327" s="31">
        <v>0</v>
      </c>
      <c r="Y327" s="31">
        <v>0</v>
      </c>
      <c r="Z327" s="31">
        <v>0</v>
      </c>
      <c r="AA327" s="31">
        <v>0</v>
      </c>
      <c r="AB327" s="31">
        <v>0</v>
      </c>
      <c r="AC327" s="31">
        <f t="shared" ref="AC327" si="91">ROUND(R327*1.5%,2)</f>
        <v>32713.3</v>
      </c>
      <c r="AD327" s="31">
        <v>0</v>
      </c>
      <c r="AE327" s="31">
        <v>0</v>
      </c>
      <c r="AF327" s="34" t="s">
        <v>274</v>
      </c>
      <c r="AG327" s="34">
        <v>2020</v>
      </c>
      <c r="AH327" s="35">
        <v>2020</v>
      </c>
    </row>
    <row r="328" spans="1:46" ht="61.5" x14ac:dyDescent="0.85">
      <c r="A328" s="20">
        <v>1</v>
      </c>
      <c r="B328" s="66">
        <f>SUBTOTAL(103,$A$22:A328)</f>
        <v>293</v>
      </c>
      <c r="C328" s="24" t="s">
        <v>1270</v>
      </c>
      <c r="D328" s="31">
        <f t="shared" si="88"/>
        <v>1981043.05</v>
      </c>
      <c r="E328" s="38">
        <v>0</v>
      </c>
      <c r="F328" s="38">
        <v>0</v>
      </c>
      <c r="G328" s="31">
        <v>0</v>
      </c>
      <c r="H328" s="38">
        <v>0</v>
      </c>
      <c r="I328" s="38">
        <v>0</v>
      </c>
      <c r="J328" s="38">
        <v>0</v>
      </c>
      <c r="K328" s="33">
        <v>0</v>
      </c>
      <c r="L328" s="31">
        <v>0</v>
      </c>
      <c r="M328" s="31">
        <v>407.8</v>
      </c>
      <c r="N328" s="31">
        <v>1833539.95</v>
      </c>
      <c r="O328" s="38">
        <v>0</v>
      </c>
      <c r="P328" s="38">
        <v>0</v>
      </c>
      <c r="Q328" s="31">
        <v>0</v>
      </c>
      <c r="R328" s="31">
        <v>0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v>0</v>
      </c>
      <c r="Y328" s="31">
        <v>0</v>
      </c>
      <c r="Z328" s="31">
        <v>0</v>
      </c>
      <c r="AA328" s="31">
        <v>0</v>
      </c>
      <c r="AB328" s="31">
        <v>0</v>
      </c>
      <c r="AC328" s="31">
        <f t="shared" ref="AC328:AC329" si="92">ROUND(N328*1.5%,2)</f>
        <v>27503.1</v>
      </c>
      <c r="AD328" s="31">
        <v>0</v>
      </c>
      <c r="AE328" s="31">
        <v>120000</v>
      </c>
      <c r="AF328" s="34" t="s">
        <v>274</v>
      </c>
      <c r="AG328" s="34">
        <v>2020</v>
      </c>
      <c r="AH328" s="35">
        <v>2020</v>
      </c>
    </row>
    <row r="329" spans="1:46" ht="61.5" x14ac:dyDescent="0.85">
      <c r="A329" s="20">
        <v>1</v>
      </c>
      <c r="B329" s="66">
        <f>SUBTOTAL(103,$A$22:A329)</f>
        <v>294</v>
      </c>
      <c r="C329" s="24" t="s">
        <v>1271</v>
      </c>
      <c r="D329" s="31">
        <f t="shared" si="88"/>
        <v>4741640.8400000008</v>
      </c>
      <c r="E329" s="38">
        <v>0</v>
      </c>
      <c r="F329" s="38">
        <v>0</v>
      </c>
      <c r="G329" s="31">
        <v>0</v>
      </c>
      <c r="H329" s="38">
        <v>0</v>
      </c>
      <c r="I329" s="38">
        <v>0</v>
      </c>
      <c r="J329" s="38">
        <v>0</v>
      </c>
      <c r="K329" s="33">
        <v>0</v>
      </c>
      <c r="L329" s="31">
        <v>0</v>
      </c>
      <c r="M329" s="31">
        <v>953.5</v>
      </c>
      <c r="N329" s="31">
        <v>4553340.7300000004</v>
      </c>
      <c r="O329" s="38">
        <v>0</v>
      </c>
      <c r="P329" s="38">
        <v>0</v>
      </c>
      <c r="Q329" s="31">
        <v>0</v>
      </c>
      <c r="R329" s="31">
        <v>0</v>
      </c>
      <c r="S329" s="31">
        <v>0</v>
      </c>
      <c r="T329" s="31">
        <v>0</v>
      </c>
      <c r="U329" s="31">
        <v>0</v>
      </c>
      <c r="V329" s="31">
        <v>0</v>
      </c>
      <c r="W329" s="31">
        <v>0</v>
      </c>
      <c r="X329" s="31">
        <v>0</v>
      </c>
      <c r="Y329" s="31">
        <v>0</v>
      </c>
      <c r="Z329" s="31">
        <v>0</v>
      </c>
      <c r="AA329" s="31">
        <v>0</v>
      </c>
      <c r="AB329" s="31">
        <v>0</v>
      </c>
      <c r="AC329" s="31">
        <f t="shared" si="92"/>
        <v>68300.11</v>
      </c>
      <c r="AD329" s="31">
        <v>0</v>
      </c>
      <c r="AE329" s="31">
        <v>120000</v>
      </c>
      <c r="AF329" s="34" t="s">
        <v>274</v>
      </c>
      <c r="AG329" s="34">
        <v>2020</v>
      </c>
      <c r="AH329" s="35">
        <v>2020</v>
      </c>
    </row>
    <row r="330" spans="1:46" ht="61.5" x14ac:dyDescent="0.85">
      <c r="A330" s="20">
        <v>1</v>
      </c>
      <c r="B330" s="66">
        <f>SUBTOTAL(103,$A$22:A330)</f>
        <v>295</v>
      </c>
      <c r="C330" s="24" t="s">
        <v>1276</v>
      </c>
      <c r="D330" s="31">
        <f t="shared" si="88"/>
        <v>7625051.5</v>
      </c>
      <c r="E330" s="38">
        <v>0</v>
      </c>
      <c r="F330" s="38">
        <v>0</v>
      </c>
      <c r="G330" s="31">
        <v>0</v>
      </c>
      <c r="H330" s="38">
        <v>0</v>
      </c>
      <c r="I330" s="38">
        <v>0</v>
      </c>
      <c r="J330" s="38">
        <v>0</v>
      </c>
      <c r="K330" s="33">
        <v>4</v>
      </c>
      <c r="L330" s="31">
        <v>7625051.5</v>
      </c>
      <c r="M330" s="31">
        <v>0</v>
      </c>
      <c r="N330" s="31">
        <v>0</v>
      </c>
      <c r="O330" s="38">
        <v>0</v>
      </c>
      <c r="P330" s="38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0</v>
      </c>
      <c r="V330" s="31">
        <v>0</v>
      </c>
      <c r="W330" s="31">
        <v>0</v>
      </c>
      <c r="X330" s="31">
        <v>0</v>
      </c>
      <c r="Y330" s="31">
        <v>0</v>
      </c>
      <c r="Z330" s="31">
        <v>0</v>
      </c>
      <c r="AA330" s="31">
        <v>0</v>
      </c>
      <c r="AB330" s="31">
        <v>0</v>
      </c>
      <c r="AC330" s="31">
        <v>0</v>
      </c>
      <c r="AD330" s="31">
        <v>0</v>
      </c>
      <c r="AE330" s="31">
        <v>0</v>
      </c>
      <c r="AF330" s="34" t="s">
        <v>274</v>
      </c>
      <c r="AG330" s="34">
        <v>2020</v>
      </c>
      <c r="AH330" s="35" t="s">
        <v>274</v>
      </c>
    </row>
    <row r="331" spans="1:46" ht="61.5" x14ac:dyDescent="0.85">
      <c r="A331" s="20">
        <v>1</v>
      </c>
      <c r="B331" s="66">
        <f>SUBTOTAL(103,$A$22:A331)</f>
        <v>296</v>
      </c>
      <c r="C331" s="24" t="s">
        <v>1277</v>
      </c>
      <c r="D331" s="31">
        <f t="shared" si="88"/>
        <v>964103.66999999993</v>
      </c>
      <c r="E331" s="38">
        <v>0</v>
      </c>
      <c r="F331" s="38">
        <v>0</v>
      </c>
      <c r="G331" s="31">
        <v>0</v>
      </c>
      <c r="H331" s="38">
        <v>0</v>
      </c>
      <c r="I331" s="38">
        <v>0</v>
      </c>
      <c r="J331" s="38">
        <v>0</v>
      </c>
      <c r="K331" s="33">
        <v>0</v>
      </c>
      <c r="L331" s="31">
        <v>0</v>
      </c>
      <c r="M331" s="31">
        <v>0</v>
      </c>
      <c r="N331" s="31">
        <v>0</v>
      </c>
      <c r="O331" s="38">
        <v>0</v>
      </c>
      <c r="P331" s="38">
        <v>0</v>
      </c>
      <c r="Q331" s="31">
        <v>415.14</v>
      </c>
      <c r="R331" s="31">
        <v>949855.83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v>0</v>
      </c>
      <c r="Y331" s="31">
        <v>0</v>
      </c>
      <c r="Z331" s="31">
        <v>0</v>
      </c>
      <c r="AA331" s="31">
        <v>0</v>
      </c>
      <c r="AB331" s="31">
        <v>0</v>
      </c>
      <c r="AC331" s="31">
        <f t="shared" ref="AC331:AC332" si="93">ROUND(R331*1.5%,2)</f>
        <v>14247.84</v>
      </c>
      <c r="AD331" s="31">
        <v>0</v>
      </c>
      <c r="AE331" s="31">
        <v>0</v>
      </c>
      <c r="AF331" s="34" t="s">
        <v>274</v>
      </c>
      <c r="AG331" s="34">
        <v>2020</v>
      </c>
      <c r="AH331" s="35">
        <v>2020</v>
      </c>
    </row>
    <row r="332" spans="1:46" ht="61.5" x14ac:dyDescent="0.85">
      <c r="A332" s="20">
        <v>1</v>
      </c>
      <c r="B332" s="66">
        <f>SUBTOTAL(103,$A$22:A332)</f>
        <v>297</v>
      </c>
      <c r="C332" s="24" t="s">
        <v>1278</v>
      </c>
      <c r="D332" s="31">
        <f t="shared" si="88"/>
        <v>1832686.35</v>
      </c>
      <c r="E332" s="38">
        <v>0</v>
      </c>
      <c r="F332" s="38">
        <v>0</v>
      </c>
      <c r="G332" s="31">
        <v>0</v>
      </c>
      <c r="H332" s="38">
        <v>0</v>
      </c>
      <c r="I332" s="38">
        <v>0</v>
      </c>
      <c r="J332" s="38">
        <v>0</v>
      </c>
      <c r="K332" s="33">
        <v>0</v>
      </c>
      <c r="L332" s="31">
        <v>0</v>
      </c>
      <c r="M332" s="31">
        <v>0</v>
      </c>
      <c r="N332" s="31">
        <v>0</v>
      </c>
      <c r="O332" s="38">
        <v>0</v>
      </c>
      <c r="P332" s="38">
        <v>0</v>
      </c>
      <c r="Q332" s="31">
        <v>390.67</v>
      </c>
      <c r="R332" s="31">
        <v>1805602.32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1">
        <v>0</v>
      </c>
      <c r="AA332" s="31">
        <v>0</v>
      </c>
      <c r="AB332" s="31">
        <v>0</v>
      </c>
      <c r="AC332" s="31">
        <f t="shared" si="93"/>
        <v>27084.03</v>
      </c>
      <c r="AD332" s="31">
        <v>0</v>
      </c>
      <c r="AE332" s="31">
        <v>0</v>
      </c>
      <c r="AF332" s="34" t="s">
        <v>274</v>
      </c>
      <c r="AG332" s="34">
        <v>2020</v>
      </c>
      <c r="AH332" s="35">
        <v>2020</v>
      </c>
    </row>
    <row r="333" spans="1:46" ht="61.5" x14ac:dyDescent="0.85">
      <c r="A333" s="20">
        <v>1</v>
      </c>
      <c r="B333" s="66">
        <f>SUBTOTAL(103,$A$22:A333)</f>
        <v>298</v>
      </c>
      <c r="C333" s="24" t="s">
        <v>1279</v>
      </c>
      <c r="D333" s="31">
        <f t="shared" si="88"/>
        <v>3647789.2499999995</v>
      </c>
      <c r="E333" s="38">
        <v>0</v>
      </c>
      <c r="F333" s="38">
        <v>0</v>
      </c>
      <c r="G333" s="31">
        <v>0</v>
      </c>
      <c r="H333" s="38">
        <v>0</v>
      </c>
      <c r="I333" s="38">
        <v>0</v>
      </c>
      <c r="J333" s="38">
        <v>0</v>
      </c>
      <c r="K333" s="33">
        <v>0</v>
      </c>
      <c r="L333" s="31">
        <v>0</v>
      </c>
      <c r="M333" s="31">
        <v>725.4</v>
      </c>
      <c r="N333" s="31">
        <v>3507338.7899999996</v>
      </c>
      <c r="O333" s="38">
        <v>0</v>
      </c>
      <c r="P333" s="38">
        <v>0</v>
      </c>
      <c r="Q333" s="31">
        <v>0</v>
      </c>
      <c r="R333" s="31">
        <v>0</v>
      </c>
      <c r="S333" s="31">
        <v>0</v>
      </c>
      <c r="T333" s="31">
        <v>0</v>
      </c>
      <c r="U333" s="31">
        <v>0</v>
      </c>
      <c r="V333" s="31">
        <v>0</v>
      </c>
      <c r="W333" s="31">
        <v>0</v>
      </c>
      <c r="X333" s="31">
        <v>0</v>
      </c>
      <c r="Y333" s="31">
        <v>0</v>
      </c>
      <c r="Z333" s="31">
        <v>0</v>
      </c>
      <c r="AA333" s="31">
        <v>0</v>
      </c>
      <c r="AB333" s="31">
        <v>0</v>
      </c>
      <c r="AC333" s="31">
        <f>ROUND(N333*1.5%,2)</f>
        <v>52610.080000000002</v>
      </c>
      <c r="AD333" s="31">
        <v>87840.38</v>
      </c>
      <c r="AE333" s="31">
        <v>0</v>
      </c>
      <c r="AF333" s="34">
        <v>2020</v>
      </c>
      <c r="AG333" s="34">
        <v>2020</v>
      </c>
      <c r="AH333" s="35">
        <v>2020</v>
      </c>
    </row>
    <row r="334" spans="1:46" ht="61.5" x14ac:dyDescent="0.85">
      <c r="A334" s="20">
        <v>1</v>
      </c>
      <c r="B334" s="66">
        <f>SUBTOTAL(103,$A$22:A334)</f>
        <v>299</v>
      </c>
      <c r="C334" s="24" t="s">
        <v>1637</v>
      </c>
      <c r="D334" s="31">
        <f t="shared" si="88"/>
        <v>1427279.76</v>
      </c>
      <c r="E334" s="38">
        <v>0</v>
      </c>
      <c r="F334" s="38">
        <v>0</v>
      </c>
      <c r="G334" s="31">
        <v>0</v>
      </c>
      <c r="H334" s="38">
        <v>0</v>
      </c>
      <c r="I334" s="38">
        <v>0</v>
      </c>
      <c r="J334" s="38">
        <v>0</v>
      </c>
      <c r="K334" s="33">
        <v>0</v>
      </c>
      <c r="L334" s="31">
        <v>0</v>
      </c>
      <c r="M334" s="31">
        <v>275.39999999999998</v>
      </c>
      <c r="N334" s="31">
        <v>1287960.3500000001</v>
      </c>
      <c r="O334" s="38">
        <v>0</v>
      </c>
      <c r="P334" s="38">
        <v>0</v>
      </c>
      <c r="Q334" s="31">
        <v>0</v>
      </c>
      <c r="R334" s="31">
        <v>0</v>
      </c>
      <c r="S334" s="31">
        <v>0</v>
      </c>
      <c r="T334" s="31">
        <v>0</v>
      </c>
      <c r="U334" s="31">
        <v>0</v>
      </c>
      <c r="V334" s="31">
        <v>0</v>
      </c>
      <c r="W334" s="31">
        <v>0</v>
      </c>
      <c r="X334" s="31">
        <v>0</v>
      </c>
      <c r="Y334" s="31">
        <v>0</v>
      </c>
      <c r="Z334" s="31">
        <v>0</v>
      </c>
      <c r="AA334" s="31">
        <v>0</v>
      </c>
      <c r="AB334" s="31">
        <v>0</v>
      </c>
      <c r="AC334" s="31">
        <f>ROUND(N334*1.5%,2)</f>
        <v>19319.41</v>
      </c>
      <c r="AD334" s="31">
        <v>0</v>
      </c>
      <c r="AE334" s="31">
        <v>120000</v>
      </c>
      <c r="AF334" s="34" t="s">
        <v>274</v>
      </c>
      <c r="AG334" s="34">
        <v>2020</v>
      </c>
      <c r="AH334" s="35">
        <v>2020</v>
      </c>
    </row>
    <row r="335" spans="1:46" ht="61.5" x14ac:dyDescent="0.85">
      <c r="A335" s="20">
        <v>1</v>
      </c>
      <c r="B335" s="66">
        <f>SUBTOTAL(103,$A$22:A335)</f>
        <v>300</v>
      </c>
      <c r="C335" s="24" t="s">
        <v>1647</v>
      </c>
      <c r="D335" s="31">
        <f t="shared" si="88"/>
        <v>1793843.86</v>
      </c>
      <c r="E335" s="38">
        <v>0</v>
      </c>
      <c r="F335" s="38">
        <v>0</v>
      </c>
      <c r="G335" s="31">
        <v>0</v>
      </c>
      <c r="H335" s="38">
        <v>0</v>
      </c>
      <c r="I335" s="38">
        <v>0</v>
      </c>
      <c r="J335" s="38">
        <v>0</v>
      </c>
      <c r="K335" s="33">
        <v>0</v>
      </c>
      <c r="L335" s="31">
        <v>0</v>
      </c>
      <c r="M335" s="31">
        <v>344.5</v>
      </c>
      <c r="N335" s="31">
        <f>1530880.65+118226.6</f>
        <v>1649107.25</v>
      </c>
      <c r="O335" s="38">
        <v>0</v>
      </c>
      <c r="P335" s="38">
        <v>0</v>
      </c>
      <c r="Q335" s="31">
        <v>0</v>
      </c>
      <c r="R335" s="31">
        <v>0</v>
      </c>
      <c r="S335" s="31">
        <v>0</v>
      </c>
      <c r="T335" s="31">
        <v>0</v>
      </c>
      <c r="U335" s="31">
        <v>0</v>
      </c>
      <c r="V335" s="31">
        <v>0</v>
      </c>
      <c r="W335" s="31">
        <v>0</v>
      </c>
      <c r="X335" s="31">
        <v>0</v>
      </c>
      <c r="Y335" s="31">
        <v>0</v>
      </c>
      <c r="Z335" s="31">
        <v>0</v>
      </c>
      <c r="AA335" s="31">
        <v>0</v>
      </c>
      <c r="AB335" s="31">
        <v>0</v>
      </c>
      <c r="AC335" s="31">
        <f>ROUND(N335*1.5%,2)</f>
        <v>24736.61</v>
      </c>
      <c r="AD335" s="31">
        <v>0</v>
      </c>
      <c r="AE335" s="31">
        <v>120000</v>
      </c>
      <c r="AF335" s="34" t="s">
        <v>274</v>
      </c>
      <c r="AG335" s="34">
        <v>2020</v>
      </c>
      <c r="AH335" s="35">
        <v>2020</v>
      </c>
    </row>
    <row r="336" spans="1:46" ht="61.5" x14ac:dyDescent="0.85">
      <c r="B336" s="24" t="s">
        <v>867</v>
      </c>
      <c r="C336" s="117"/>
      <c r="D336" s="31">
        <f>SUM(D337:D353)</f>
        <v>38859598.050000004</v>
      </c>
      <c r="E336" s="31">
        <f t="shared" ref="E336:AE336" si="94">SUM(E337:E353)</f>
        <v>315048.13</v>
      </c>
      <c r="F336" s="31">
        <f t="shared" si="94"/>
        <v>0</v>
      </c>
      <c r="G336" s="31">
        <f t="shared" si="94"/>
        <v>0</v>
      </c>
      <c r="H336" s="31">
        <f t="shared" si="94"/>
        <v>550227.06000000006</v>
      </c>
      <c r="I336" s="31">
        <f t="shared" si="94"/>
        <v>2416780.3199999998</v>
      </c>
      <c r="J336" s="31">
        <f t="shared" si="94"/>
        <v>0</v>
      </c>
      <c r="K336" s="33">
        <f t="shared" si="94"/>
        <v>0</v>
      </c>
      <c r="L336" s="31">
        <f t="shared" si="94"/>
        <v>0</v>
      </c>
      <c r="M336" s="31">
        <f t="shared" si="94"/>
        <v>4320.4799999999996</v>
      </c>
      <c r="N336" s="31">
        <f t="shared" si="94"/>
        <v>19832968.379999999</v>
      </c>
      <c r="O336" s="31">
        <f t="shared" si="94"/>
        <v>0</v>
      </c>
      <c r="P336" s="31">
        <f t="shared" si="94"/>
        <v>0</v>
      </c>
      <c r="Q336" s="31">
        <f t="shared" si="94"/>
        <v>3069.6800000000003</v>
      </c>
      <c r="R336" s="31">
        <f t="shared" si="94"/>
        <v>12312276.960000001</v>
      </c>
      <c r="S336" s="31">
        <f t="shared" si="94"/>
        <v>84.3</v>
      </c>
      <c r="T336" s="31">
        <f t="shared" si="94"/>
        <v>1917130.74</v>
      </c>
      <c r="U336" s="31">
        <f t="shared" si="94"/>
        <v>0</v>
      </c>
      <c r="V336" s="31">
        <f t="shared" si="94"/>
        <v>0</v>
      </c>
      <c r="W336" s="31">
        <f t="shared" si="94"/>
        <v>0</v>
      </c>
      <c r="X336" s="31">
        <f t="shared" si="94"/>
        <v>0</v>
      </c>
      <c r="Y336" s="31">
        <f t="shared" si="94"/>
        <v>0</v>
      </c>
      <c r="Z336" s="31">
        <f t="shared" si="94"/>
        <v>0</v>
      </c>
      <c r="AA336" s="31">
        <f t="shared" si="94"/>
        <v>0</v>
      </c>
      <c r="AB336" s="31">
        <f t="shared" si="94"/>
        <v>0</v>
      </c>
      <c r="AC336" s="31">
        <f t="shared" si="94"/>
        <v>560166.46000000008</v>
      </c>
      <c r="AD336" s="31">
        <f t="shared" si="94"/>
        <v>835000</v>
      </c>
      <c r="AE336" s="31">
        <f t="shared" si="94"/>
        <v>120000</v>
      </c>
      <c r="AF336" s="72" t="s">
        <v>794</v>
      </c>
      <c r="AG336" s="72" t="s">
        <v>794</v>
      </c>
      <c r="AH336" s="91" t="s">
        <v>794</v>
      </c>
      <c r="AT336" s="20" t="e">
        <f t="shared" ref="AT336:AT342" si="95">VLOOKUP(C336,AW:AX,2,FALSE)</f>
        <v>#N/A</v>
      </c>
    </row>
    <row r="337" spans="1:46" ht="61.5" x14ac:dyDescent="0.85">
      <c r="A337" s="20">
        <v>1</v>
      </c>
      <c r="B337" s="66">
        <f>SUBTOTAL(103,$A$22:A337)</f>
        <v>301</v>
      </c>
      <c r="C337" s="24" t="s">
        <v>236</v>
      </c>
      <c r="D337" s="31">
        <f t="shared" ref="D337:D353" si="96">E337+F337+G337+H337+I337+J337+L337+N337+P337+R337+T337+U337+V337+W337+X337+Y337+Z337+AA337+AB337+AC337+AD337+AE337</f>
        <v>1625370</v>
      </c>
      <c r="E337" s="31">
        <v>0</v>
      </c>
      <c r="F337" s="31">
        <v>0</v>
      </c>
      <c r="G337" s="31">
        <v>0</v>
      </c>
      <c r="H337" s="31">
        <v>0</v>
      </c>
      <c r="I337" s="31">
        <v>0</v>
      </c>
      <c r="J337" s="31">
        <v>0</v>
      </c>
      <c r="K337" s="33">
        <v>0</v>
      </c>
      <c r="L337" s="31">
        <v>0</v>
      </c>
      <c r="M337" s="31">
        <v>318.7</v>
      </c>
      <c r="N337" s="31">
        <v>1483123.15</v>
      </c>
      <c r="O337" s="31">
        <v>0</v>
      </c>
      <c r="P337" s="31">
        <v>0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0</v>
      </c>
      <c r="Y337" s="31">
        <v>0</v>
      </c>
      <c r="Z337" s="31">
        <v>0</v>
      </c>
      <c r="AA337" s="31">
        <v>0</v>
      </c>
      <c r="AB337" s="31">
        <v>0</v>
      </c>
      <c r="AC337" s="31">
        <f>ROUND(N337*1.5%,2)</f>
        <v>22246.85</v>
      </c>
      <c r="AD337" s="31">
        <v>120000</v>
      </c>
      <c r="AE337" s="31">
        <v>0</v>
      </c>
      <c r="AF337" s="34">
        <v>2020</v>
      </c>
      <c r="AG337" s="34">
        <v>2020</v>
      </c>
      <c r="AH337" s="35">
        <v>2020</v>
      </c>
      <c r="AT337" s="20" t="e">
        <f t="shared" si="95"/>
        <v>#N/A</v>
      </c>
    </row>
    <row r="338" spans="1:46" ht="61.5" x14ac:dyDescent="0.85">
      <c r="A338" s="20">
        <v>1</v>
      </c>
      <c r="B338" s="66">
        <f>SUBTOTAL(103,$A$22:A338)</f>
        <v>302</v>
      </c>
      <c r="C338" s="24" t="s">
        <v>238</v>
      </c>
      <c r="D338" s="31">
        <f t="shared" si="96"/>
        <v>2586000</v>
      </c>
      <c r="E338" s="31">
        <v>0</v>
      </c>
      <c r="F338" s="31">
        <v>0</v>
      </c>
      <c r="G338" s="31">
        <v>0</v>
      </c>
      <c r="H338" s="31">
        <v>0</v>
      </c>
      <c r="I338" s="31">
        <v>0</v>
      </c>
      <c r="J338" s="31">
        <v>0</v>
      </c>
      <c r="K338" s="33">
        <v>0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449.8</v>
      </c>
      <c r="R338" s="31">
        <f>1694742.15+749592.83</f>
        <v>2444334.98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f t="shared" ref="AC338" si="97">ROUND(R338*1.5%,2)</f>
        <v>36665.019999999997</v>
      </c>
      <c r="AD338" s="31">
        <v>105000</v>
      </c>
      <c r="AE338" s="31">
        <v>0</v>
      </c>
      <c r="AF338" s="34">
        <v>2020</v>
      </c>
      <c r="AG338" s="34">
        <v>2020</v>
      </c>
      <c r="AH338" s="35">
        <v>2020</v>
      </c>
      <c r="AT338" s="20" t="e">
        <f t="shared" si="95"/>
        <v>#N/A</v>
      </c>
    </row>
    <row r="339" spans="1:46" ht="61.5" x14ac:dyDescent="0.85">
      <c r="A339" s="20">
        <v>1</v>
      </c>
      <c r="B339" s="66">
        <f>SUBTOTAL(103,$A$22:A339)</f>
        <v>303</v>
      </c>
      <c r="C339" s="24" t="s">
        <v>241</v>
      </c>
      <c r="D339" s="31">
        <f t="shared" si="96"/>
        <v>2367930</v>
      </c>
      <c r="E339" s="31">
        <v>0</v>
      </c>
      <c r="F339" s="31">
        <v>0</v>
      </c>
      <c r="G339" s="31">
        <v>0</v>
      </c>
      <c r="H339" s="31">
        <v>0</v>
      </c>
      <c r="I339" s="31">
        <v>0</v>
      </c>
      <c r="J339" s="31">
        <v>0</v>
      </c>
      <c r="K339" s="33">
        <v>0</v>
      </c>
      <c r="L339" s="31">
        <v>0</v>
      </c>
      <c r="M339" s="31">
        <v>464.3</v>
      </c>
      <c r="N339" s="31">
        <v>2214709.36</v>
      </c>
      <c r="O339" s="31">
        <v>0</v>
      </c>
      <c r="P339" s="31">
        <v>0</v>
      </c>
      <c r="Q339" s="31">
        <v>0</v>
      </c>
      <c r="R339" s="31">
        <v>0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  <c r="AC339" s="31">
        <f t="shared" ref="AC339:AC342" si="98">ROUND(N339*1.5%,2)</f>
        <v>33220.639999999999</v>
      </c>
      <c r="AD339" s="31">
        <v>120000</v>
      </c>
      <c r="AE339" s="31">
        <v>0</v>
      </c>
      <c r="AF339" s="34">
        <v>2020</v>
      </c>
      <c r="AG339" s="34">
        <v>2020</v>
      </c>
      <c r="AH339" s="35">
        <v>2020</v>
      </c>
      <c r="AT339" s="20" t="e">
        <f t="shared" si="95"/>
        <v>#N/A</v>
      </c>
    </row>
    <row r="340" spans="1:46" ht="61.5" x14ac:dyDescent="0.85">
      <c r="A340" s="20">
        <v>1</v>
      </c>
      <c r="B340" s="66">
        <f>SUBTOTAL(103,$A$22:A340)</f>
        <v>304</v>
      </c>
      <c r="C340" s="24" t="s">
        <v>242</v>
      </c>
      <c r="D340" s="31">
        <f t="shared" si="96"/>
        <v>1382100</v>
      </c>
      <c r="E340" s="31">
        <v>0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3">
        <v>0</v>
      </c>
      <c r="L340" s="31">
        <v>0</v>
      </c>
      <c r="M340" s="31">
        <v>271</v>
      </c>
      <c r="N340" s="31">
        <v>1243448.28</v>
      </c>
      <c r="O340" s="31">
        <v>0</v>
      </c>
      <c r="P340" s="31">
        <v>0</v>
      </c>
      <c r="Q340" s="31">
        <v>0</v>
      </c>
      <c r="R340" s="31">
        <v>0</v>
      </c>
      <c r="S340" s="31">
        <v>0</v>
      </c>
      <c r="T340" s="31">
        <v>0</v>
      </c>
      <c r="U340" s="31">
        <v>0</v>
      </c>
      <c r="V340" s="31">
        <v>0</v>
      </c>
      <c r="W340" s="31">
        <v>0</v>
      </c>
      <c r="X340" s="31">
        <v>0</v>
      </c>
      <c r="Y340" s="31">
        <v>0</v>
      </c>
      <c r="Z340" s="31">
        <v>0</v>
      </c>
      <c r="AA340" s="31">
        <v>0</v>
      </c>
      <c r="AB340" s="31">
        <v>0</v>
      </c>
      <c r="AC340" s="31">
        <f t="shared" si="98"/>
        <v>18651.72</v>
      </c>
      <c r="AD340" s="31">
        <v>120000</v>
      </c>
      <c r="AE340" s="31">
        <v>0</v>
      </c>
      <c r="AF340" s="34">
        <v>2020</v>
      </c>
      <c r="AG340" s="34">
        <v>2020</v>
      </c>
      <c r="AH340" s="35">
        <v>2020</v>
      </c>
      <c r="AT340" s="20" t="e">
        <f t="shared" si="95"/>
        <v>#N/A</v>
      </c>
    </row>
    <row r="341" spans="1:46" ht="61.5" x14ac:dyDescent="0.85">
      <c r="A341" s="20">
        <v>1</v>
      </c>
      <c r="B341" s="66">
        <f>SUBTOTAL(103,$A$22:A341)</f>
        <v>305</v>
      </c>
      <c r="C341" s="24" t="s">
        <v>237</v>
      </c>
      <c r="D341" s="31">
        <f t="shared" si="96"/>
        <v>1066818</v>
      </c>
      <c r="E341" s="31">
        <v>0</v>
      </c>
      <c r="F341" s="31">
        <v>0</v>
      </c>
      <c r="G341" s="31">
        <v>0</v>
      </c>
      <c r="H341" s="31">
        <v>0</v>
      </c>
      <c r="I341" s="31">
        <v>0</v>
      </c>
      <c r="J341" s="31">
        <v>0</v>
      </c>
      <c r="K341" s="33">
        <v>0</v>
      </c>
      <c r="L341" s="31">
        <v>0</v>
      </c>
      <c r="M341" s="31">
        <v>209.18</v>
      </c>
      <c r="N341" s="31">
        <v>932825.62</v>
      </c>
      <c r="O341" s="31">
        <v>0</v>
      </c>
      <c r="P341" s="31">
        <v>0</v>
      </c>
      <c r="Q341" s="31">
        <v>0</v>
      </c>
      <c r="R341" s="31">
        <v>0</v>
      </c>
      <c r="S341" s="31">
        <v>0</v>
      </c>
      <c r="T341" s="31">
        <v>0</v>
      </c>
      <c r="U341" s="31">
        <v>0</v>
      </c>
      <c r="V341" s="31">
        <v>0</v>
      </c>
      <c r="W341" s="31">
        <v>0</v>
      </c>
      <c r="X341" s="31">
        <v>0</v>
      </c>
      <c r="Y341" s="31">
        <v>0</v>
      </c>
      <c r="Z341" s="31">
        <v>0</v>
      </c>
      <c r="AA341" s="31">
        <v>0</v>
      </c>
      <c r="AB341" s="31">
        <v>0</v>
      </c>
      <c r="AC341" s="31">
        <f t="shared" si="98"/>
        <v>13992.38</v>
      </c>
      <c r="AD341" s="31">
        <v>120000</v>
      </c>
      <c r="AE341" s="31">
        <v>0</v>
      </c>
      <c r="AF341" s="34">
        <v>2020</v>
      </c>
      <c r="AG341" s="34">
        <v>2020</v>
      </c>
      <c r="AH341" s="35">
        <v>2020</v>
      </c>
      <c r="AT341" s="20" t="e">
        <f t="shared" si="95"/>
        <v>#N/A</v>
      </c>
    </row>
    <row r="342" spans="1:46" ht="61.5" x14ac:dyDescent="0.85">
      <c r="A342" s="20">
        <v>1</v>
      </c>
      <c r="B342" s="66">
        <f>SUBTOTAL(103,$A$22:A342)</f>
        <v>306</v>
      </c>
      <c r="C342" s="24" t="s">
        <v>244</v>
      </c>
      <c r="D342" s="31">
        <f t="shared" si="96"/>
        <v>2750940</v>
      </c>
      <c r="E342" s="31">
        <v>0</v>
      </c>
      <c r="F342" s="31">
        <v>0</v>
      </c>
      <c r="G342" s="31">
        <v>0</v>
      </c>
      <c r="H342" s="31">
        <v>0</v>
      </c>
      <c r="I342" s="31">
        <v>0</v>
      </c>
      <c r="J342" s="31">
        <v>0</v>
      </c>
      <c r="K342" s="33">
        <v>0</v>
      </c>
      <c r="L342" s="31">
        <v>0</v>
      </c>
      <c r="M342" s="31">
        <v>539.4</v>
      </c>
      <c r="N342" s="31">
        <v>2562502.46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1">
        <v>0</v>
      </c>
      <c r="AA342" s="31">
        <v>0</v>
      </c>
      <c r="AB342" s="31">
        <v>0</v>
      </c>
      <c r="AC342" s="31">
        <f t="shared" si="98"/>
        <v>38437.54</v>
      </c>
      <c r="AD342" s="31">
        <v>150000</v>
      </c>
      <c r="AE342" s="31">
        <v>0</v>
      </c>
      <c r="AF342" s="34">
        <v>2020</v>
      </c>
      <c r="AG342" s="34">
        <v>2020</v>
      </c>
      <c r="AH342" s="35">
        <v>2020</v>
      </c>
      <c r="AT342" s="20" t="e">
        <f t="shared" si="95"/>
        <v>#N/A</v>
      </c>
    </row>
    <row r="343" spans="1:46" ht="61.5" x14ac:dyDescent="0.85">
      <c r="A343" s="20">
        <v>1</v>
      </c>
      <c r="B343" s="66">
        <f>SUBTOTAL(103,$A$22:A343)</f>
        <v>307</v>
      </c>
      <c r="C343" s="24" t="s">
        <v>1282</v>
      </c>
      <c r="D343" s="31">
        <f t="shared" si="96"/>
        <v>2857556.7199999997</v>
      </c>
      <c r="E343" s="38">
        <v>0</v>
      </c>
      <c r="F343" s="38">
        <v>0</v>
      </c>
      <c r="G343" s="31">
        <v>0</v>
      </c>
      <c r="H343" s="38">
        <v>0</v>
      </c>
      <c r="I343" s="38">
        <v>0</v>
      </c>
      <c r="J343" s="38">
        <v>0</v>
      </c>
      <c r="K343" s="33">
        <v>0</v>
      </c>
      <c r="L343" s="31">
        <v>0</v>
      </c>
      <c r="M343" s="31">
        <v>0</v>
      </c>
      <c r="N343" s="31">
        <v>0</v>
      </c>
      <c r="O343" s="38">
        <v>0</v>
      </c>
      <c r="P343" s="38">
        <v>0</v>
      </c>
      <c r="Q343" s="31">
        <v>677.5</v>
      </c>
      <c r="R343" s="31">
        <v>2815326.82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1">
        <v>0</v>
      </c>
      <c r="Y343" s="31">
        <v>0</v>
      </c>
      <c r="Z343" s="31">
        <v>0</v>
      </c>
      <c r="AA343" s="31">
        <v>0</v>
      </c>
      <c r="AB343" s="31">
        <v>0</v>
      </c>
      <c r="AC343" s="31">
        <f t="shared" ref="AC343" si="99">ROUND(R343*1.5%,2)</f>
        <v>42229.9</v>
      </c>
      <c r="AD343" s="31">
        <v>0</v>
      </c>
      <c r="AE343" s="31">
        <v>0</v>
      </c>
      <c r="AF343" s="34" t="s">
        <v>274</v>
      </c>
      <c r="AG343" s="34">
        <v>2020</v>
      </c>
      <c r="AH343" s="35">
        <v>2020</v>
      </c>
    </row>
    <row r="344" spans="1:46" ht="61.5" x14ac:dyDescent="0.85">
      <c r="A344" s="20">
        <v>1</v>
      </c>
      <c r="B344" s="66">
        <f>SUBTOTAL(103,$A$22:A344)</f>
        <v>308</v>
      </c>
      <c r="C344" s="24" t="s">
        <v>1283</v>
      </c>
      <c r="D344" s="31">
        <f t="shared" si="96"/>
        <v>3331286.34</v>
      </c>
      <c r="E344" s="38">
        <v>315048.13</v>
      </c>
      <c r="F344" s="38">
        <v>0</v>
      </c>
      <c r="G344" s="31">
        <v>0</v>
      </c>
      <c r="H344" s="38">
        <v>550227.06000000006</v>
      </c>
      <c r="I344" s="38">
        <v>2416780.3199999998</v>
      </c>
      <c r="J344" s="38">
        <v>0</v>
      </c>
      <c r="K344" s="33">
        <v>0</v>
      </c>
      <c r="L344" s="31">
        <v>0</v>
      </c>
      <c r="M344" s="31">
        <v>0</v>
      </c>
      <c r="N344" s="31">
        <v>0</v>
      </c>
      <c r="O344" s="38">
        <v>0</v>
      </c>
      <c r="P344" s="38">
        <v>0</v>
      </c>
      <c r="Q344" s="31">
        <v>0</v>
      </c>
      <c r="R344" s="31">
        <v>0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v>0</v>
      </c>
      <c r="Y344" s="31">
        <v>0</v>
      </c>
      <c r="Z344" s="31">
        <v>0</v>
      </c>
      <c r="AA344" s="31">
        <v>0</v>
      </c>
      <c r="AB344" s="31">
        <v>0</v>
      </c>
      <c r="AC344" s="31">
        <f t="shared" ref="AC344" si="100">ROUND((E344+F344+G344+H344+I344+J344)*1.5%,2)</f>
        <v>49230.83</v>
      </c>
      <c r="AD344" s="31">
        <v>0</v>
      </c>
      <c r="AE344" s="31">
        <v>0</v>
      </c>
      <c r="AF344" s="34" t="s">
        <v>274</v>
      </c>
      <c r="AG344" s="34">
        <v>2020</v>
      </c>
      <c r="AH344" s="35">
        <v>2020</v>
      </c>
    </row>
    <row r="345" spans="1:46" ht="61.5" x14ac:dyDescent="0.85">
      <c r="A345" s="20">
        <v>1</v>
      </c>
      <c r="B345" s="66">
        <f>SUBTOTAL(103,$A$22:A345)</f>
        <v>309</v>
      </c>
      <c r="C345" s="24" t="s">
        <v>1284</v>
      </c>
      <c r="D345" s="31">
        <f t="shared" si="96"/>
        <v>3691588.77</v>
      </c>
      <c r="E345" s="38">
        <v>0</v>
      </c>
      <c r="F345" s="38">
        <v>0</v>
      </c>
      <c r="G345" s="31">
        <v>0</v>
      </c>
      <c r="H345" s="38">
        <v>0</v>
      </c>
      <c r="I345" s="38">
        <v>0</v>
      </c>
      <c r="J345" s="38">
        <v>0</v>
      </c>
      <c r="K345" s="33">
        <v>0</v>
      </c>
      <c r="L345" s="31">
        <v>0</v>
      </c>
      <c r="M345" s="31">
        <v>0</v>
      </c>
      <c r="N345" s="31">
        <v>0</v>
      </c>
      <c r="O345" s="38">
        <v>0</v>
      </c>
      <c r="P345" s="38">
        <v>0</v>
      </c>
      <c r="Q345" s="31">
        <v>766.41</v>
      </c>
      <c r="R345" s="31">
        <v>3637033.27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v>0</v>
      </c>
      <c r="Y345" s="31">
        <v>0</v>
      </c>
      <c r="Z345" s="31">
        <v>0</v>
      </c>
      <c r="AA345" s="31">
        <v>0</v>
      </c>
      <c r="AB345" s="31">
        <v>0</v>
      </c>
      <c r="AC345" s="31">
        <f t="shared" ref="AC345:AC346" si="101">ROUND(R345*1.5%,2)</f>
        <v>54555.5</v>
      </c>
      <c r="AD345" s="31">
        <v>0</v>
      </c>
      <c r="AE345" s="31">
        <v>0</v>
      </c>
      <c r="AF345" s="34" t="s">
        <v>274</v>
      </c>
      <c r="AG345" s="34">
        <v>2020</v>
      </c>
      <c r="AH345" s="35">
        <v>2020</v>
      </c>
    </row>
    <row r="346" spans="1:46" ht="61.5" x14ac:dyDescent="0.85">
      <c r="A346" s="20">
        <v>1</v>
      </c>
      <c r="B346" s="66">
        <f>SUBTOTAL(103,$A$22:A346)</f>
        <v>310</v>
      </c>
      <c r="C346" s="24" t="s">
        <v>1285</v>
      </c>
      <c r="D346" s="31">
        <f t="shared" si="96"/>
        <v>2051042.41</v>
      </c>
      <c r="E346" s="38">
        <v>0</v>
      </c>
      <c r="F346" s="38">
        <v>0</v>
      </c>
      <c r="G346" s="31">
        <v>0</v>
      </c>
      <c r="H346" s="38">
        <v>0</v>
      </c>
      <c r="I346" s="38">
        <v>0</v>
      </c>
      <c r="J346" s="38">
        <v>0</v>
      </c>
      <c r="K346" s="33">
        <v>0</v>
      </c>
      <c r="L346" s="31">
        <v>0</v>
      </c>
      <c r="M346" s="31">
        <v>0</v>
      </c>
      <c r="N346" s="31">
        <v>0</v>
      </c>
      <c r="O346" s="38">
        <v>0</v>
      </c>
      <c r="P346" s="38">
        <v>0</v>
      </c>
      <c r="Q346" s="31">
        <v>798.07</v>
      </c>
      <c r="R346" s="31">
        <v>2020731.44</v>
      </c>
      <c r="S346" s="31">
        <v>0</v>
      </c>
      <c r="T346" s="31">
        <v>0</v>
      </c>
      <c r="U346" s="31">
        <v>0</v>
      </c>
      <c r="V346" s="31">
        <v>0</v>
      </c>
      <c r="W346" s="31">
        <v>0</v>
      </c>
      <c r="X346" s="31">
        <v>0</v>
      </c>
      <c r="Y346" s="31">
        <v>0</v>
      </c>
      <c r="Z346" s="31">
        <v>0</v>
      </c>
      <c r="AA346" s="31">
        <v>0</v>
      </c>
      <c r="AB346" s="31">
        <v>0</v>
      </c>
      <c r="AC346" s="31">
        <f t="shared" si="101"/>
        <v>30310.97</v>
      </c>
      <c r="AD346" s="31">
        <v>0</v>
      </c>
      <c r="AE346" s="31">
        <v>0</v>
      </c>
      <c r="AF346" s="34" t="s">
        <v>274</v>
      </c>
      <c r="AG346" s="34">
        <v>2020</v>
      </c>
      <c r="AH346" s="35">
        <v>2020</v>
      </c>
    </row>
    <row r="347" spans="1:46" ht="61.5" x14ac:dyDescent="0.85">
      <c r="A347" s="20">
        <v>1</v>
      </c>
      <c r="B347" s="66">
        <f>SUBTOTAL(103,$A$22:A347)</f>
        <v>311</v>
      </c>
      <c r="C347" s="24" t="s">
        <v>1286</v>
      </c>
      <c r="D347" s="31">
        <f t="shared" si="96"/>
        <v>1945887.7</v>
      </c>
      <c r="E347" s="38">
        <v>0</v>
      </c>
      <c r="F347" s="38">
        <v>0</v>
      </c>
      <c r="G347" s="31">
        <v>0</v>
      </c>
      <c r="H347" s="38">
        <v>0</v>
      </c>
      <c r="I347" s="38">
        <v>0</v>
      </c>
      <c r="J347" s="38">
        <v>0</v>
      </c>
      <c r="K347" s="33">
        <v>0</v>
      </c>
      <c r="L347" s="31">
        <v>0</v>
      </c>
      <c r="M347" s="31">
        <v>0</v>
      </c>
      <c r="N347" s="31">
        <v>0</v>
      </c>
      <c r="O347" s="38">
        <v>0</v>
      </c>
      <c r="P347" s="38">
        <v>0</v>
      </c>
      <c r="Q347" s="31">
        <v>0</v>
      </c>
      <c r="R347" s="31">
        <v>0</v>
      </c>
      <c r="S347" s="31">
        <v>84.3</v>
      </c>
      <c r="T347" s="31">
        <v>1917130.74</v>
      </c>
      <c r="U347" s="31">
        <v>0</v>
      </c>
      <c r="V347" s="31">
        <v>0</v>
      </c>
      <c r="W347" s="31">
        <v>0</v>
      </c>
      <c r="X347" s="31">
        <v>0</v>
      </c>
      <c r="Y347" s="31">
        <v>0</v>
      </c>
      <c r="Z347" s="31">
        <v>0</v>
      </c>
      <c r="AA347" s="31">
        <v>0</v>
      </c>
      <c r="AB347" s="31">
        <v>0</v>
      </c>
      <c r="AC347" s="31">
        <f>ROUND(T347*1.5%,2)</f>
        <v>28756.959999999999</v>
      </c>
      <c r="AD347" s="31">
        <v>0</v>
      </c>
      <c r="AE347" s="31">
        <v>0</v>
      </c>
      <c r="AF347" s="34" t="s">
        <v>274</v>
      </c>
      <c r="AG347" s="34">
        <v>2020</v>
      </c>
      <c r="AH347" s="35">
        <v>2020</v>
      </c>
    </row>
    <row r="348" spans="1:46" ht="61.5" x14ac:dyDescent="0.85">
      <c r="A348" s="20">
        <v>1</v>
      </c>
      <c r="B348" s="66">
        <f>SUBTOTAL(103,$A$22:A348)</f>
        <v>312</v>
      </c>
      <c r="C348" s="24" t="s">
        <v>1287</v>
      </c>
      <c r="D348" s="31">
        <f t="shared" si="96"/>
        <v>2037741.92</v>
      </c>
      <c r="E348" s="38">
        <v>0</v>
      </c>
      <c r="F348" s="38">
        <v>0</v>
      </c>
      <c r="G348" s="31">
        <v>0</v>
      </c>
      <c r="H348" s="38">
        <v>0</v>
      </c>
      <c r="I348" s="38">
        <v>0</v>
      </c>
      <c r="J348" s="38">
        <v>0</v>
      </c>
      <c r="K348" s="33">
        <v>0</v>
      </c>
      <c r="L348" s="31">
        <v>0</v>
      </c>
      <c r="M348" s="31">
        <v>374.3</v>
      </c>
      <c r="N348" s="31">
        <v>1889400.91</v>
      </c>
      <c r="O348" s="38">
        <v>0</v>
      </c>
      <c r="P348" s="38">
        <v>0</v>
      </c>
      <c r="Q348" s="31">
        <v>0</v>
      </c>
      <c r="R348" s="31">
        <v>0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v>0</v>
      </c>
      <c r="Y348" s="31">
        <v>0</v>
      </c>
      <c r="Z348" s="31">
        <v>0</v>
      </c>
      <c r="AA348" s="31">
        <v>0</v>
      </c>
      <c r="AB348" s="31">
        <v>0</v>
      </c>
      <c r="AC348" s="31">
        <f t="shared" ref="AC348:AC352" si="102">ROUND(N348*1.5%,2)</f>
        <v>28341.01</v>
      </c>
      <c r="AD348" s="31">
        <v>0</v>
      </c>
      <c r="AE348" s="31">
        <v>120000</v>
      </c>
      <c r="AF348" s="34" t="s">
        <v>274</v>
      </c>
      <c r="AG348" s="34">
        <v>2020</v>
      </c>
      <c r="AH348" s="35">
        <v>2020</v>
      </c>
    </row>
    <row r="349" spans="1:46" ht="61.5" x14ac:dyDescent="0.85">
      <c r="A349" s="20">
        <v>1</v>
      </c>
      <c r="B349" s="66">
        <f>SUBTOTAL(103,$A$22:A349)</f>
        <v>313</v>
      </c>
      <c r="C349" s="24" t="s">
        <v>1630</v>
      </c>
      <c r="D349" s="31">
        <f t="shared" si="96"/>
        <v>1410291.19</v>
      </c>
      <c r="E349" s="38">
        <v>0</v>
      </c>
      <c r="F349" s="38">
        <v>0</v>
      </c>
      <c r="G349" s="31">
        <v>0</v>
      </c>
      <c r="H349" s="38">
        <v>0</v>
      </c>
      <c r="I349" s="38">
        <v>0</v>
      </c>
      <c r="J349" s="38">
        <v>0</v>
      </c>
      <c r="K349" s="33">
        <v>0</v>
      </c>
      <c r="L349" s="31">
        <v>0</v>
      </c>
      <c r="M349" s="31">
        <v>329.1</v>
      </c>
      <c r="N349" s="31">
        <v>1389449.45</v>
      </c>
      <c r="O349" s="38">
        <v>0</v>
      </c>
      <c r="P349" s="38">
        <v>0</v>
      </c>
      <c r="Q349" s="31">
        <v>0</v>
      </c>
      <c r="R349" s="31">
        <v>0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v>0</v>
      </c>
      <c r="Y349" s="31">
        <v>0</v>
      </c>
      <c r="Z349" s="31">
        <v>0</v>
      </c>
      <c r="AA349" s="31">
        <v>0</v>
      </c>
      <c r="AB349" s="31">
        <v>0</v>
      </c>
      <c r="AC349" s="31">
        <f t="shared" si="102"/>
        <v>20841.740000000002</v>
      </c>
      <c r="AD349" s="31">
        <v>0</v>
      </c>
      <c r="AE349" s="31">
        <v>0</v>
      </c>
      <c r="AF349" s="34" t="s">
        <v>274</v>
      </c>
      <c r="AG349" s="34">
        <v>2020</v>
      </c>
      <c r="AH349" s="35">
        <v>2020</v>
      </c>
    </row>
    <row r="350" spans="1:46" ht="61.5" x14ac:dyDescent="0.85">
      <c r="A350" s="20">
        <v>1</v>
      </c>
      <c r="B350" s="66">
        <f>SUBTOTAL(103,$A$22:A350)</f>
        <v>314</v>
      </c>
      <c r="C350" s="24" t="s">
        <v>1631</v>
      </c>
      <c r="D350" s="31">
        <f t="shared" si="96"/>
        <v>2672335.8200000003</v>
      </c>
      <c r="E350" s="38">
        <v>0</v>
      </c>
      <c r="F350" s="38">
        <v>0</v>
      </c>
      <c r="G350" s="31">
        <v>0</v>
      </c>
      <c r="H350" s="38">
        <v>0</v>
      </c>
      <c r="I350" s="38">
        <v>0</v>
      </c>
      <c r="J350" s="38">
        <v>0</v>
      </c>
      <c r="K350" s="33">
        <v>0</v>
      </c>
      <c r="L350" s="31">
        <v>0</v>
      </c>
      <c r="M350" s="31">
        <v>611</v>
      </c>
      <c r="N350" s="31">
        <v>2632843.1700000004</v>
      </c>
      <c r="O350" s="38">
        <v>0</v>
      </c>
      <c r="P350" s="38">
        <v>0</v>
      </c>
      <c r="Q350" s="31">
        <v>0</v>
      </c>
      <c r="R350" s="31">
        <v>0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1">
        <v>0</v>
      </c>
      <c r="AA350" s="31">
        <v>0</v>
      </c>
      <c r="AB350" s="31">
        <v>0</v>
      </c>
      <c r="AC350" s="31">
        <f t="shared" si="102"/>
        <v>39492.65</v>
      </c>
      <c r="AD350" s="31">
        <v>0</v>
      </c>
      <c r="AE350" s="31">
        <v>0</v>
      </c>
      <c r="AF350" s="34" t="s">
        <v>274</v>
      </c>
      <c r="AG350" s="34">
        <v>2020</v>
      </c>
      <c r="AH350" s="35">
        <v>2020</v>
      </c>
    </row>
    <row r="351" spans="1:46" ht="61.5" x14ac:dyDescent="0.85">
      <c r="A351" s="20">
        <v>1</v>
      </c>
      <c r="B351" s="66">
        <f>SUBTOTAL(103,$A$22:A351)</f>
        <v>315</v>
      </c>
      <c r="C351" s="24" t="s">
        <v>1645</v>
      </c>
      <c r="D351" s="31">
        <f t="shared" si="96"/>
        <v>2869689.63</v>
      </c>
      <c r="E351" s="38">
        <v>0</v>
      </c>
      <c r="F351" s="38">
        <v>0</v>
      </c>
      <c r="G351" s="31">
        <v>0</v>
      </c>
      <c r="H351" s="38">
        <v>0</v>
      </c>
      <c r="I351" s="38">
        <v>0</v>
      </c>
      <c r="J351" s="38">
        <v>0</v>
      </c>
      <c r="K351" s="33">
        <v>0</v>
      </c>
      <c r="L351" s="31">
        <v>0</v>
      </c>
      <c r="M351" s="31">
        <v>606</v>
      </c>
      <c r="N351" s="31">
        <v>2827280.42</v>
      </c>
      <c r="O351" s="38">
        <v>0</v>
      </c>
      <c r="P351" s="38">
        <v>0</v>
      </c>
      <c r="Q351" s="31">
        <v>0</v>
      </c>
      <c r="R351" s="31">
        <v>0</v>
      </c>
      <c r="S351" s="31">
        <v>0</v>
      </c>
      <c r="T351" s="31">
        <v>0</v>
      </c>
      <c r="U351" s="31">
        <v>0</v>
      </c>
      <c r="V351" s="31">
        <v>0</v>
      </c>
      <c r="W351" s="31">
        <v>0</v>
      </c>
      <c r="X351" s="31">
        <v>0</v>
      </c>
      <c r="Y351" s="31">
        <v>0</v>
      </c>
      <c r="Z351" s="31">
        <v>0</v>
      </c>
      <c r="AA351" s="31">
        <v>0</v>
      </c>
      <c r="AB351" s="31">
        <v>0</v>
      </c>
      <c r="AC351" s="31">
        <f t="shared" si="102"/>
        <v>42409.21</v>
      </c>
      <c r="AD351" s="31">
        <v>0</v>
      </c>
      <c r="AE351" s="31">
        <v>0</v>
      </c>
      <c r="AF351" s="34" t="s">
        <v>274</v>
      </c>
      <c r="AG351" s="34">
        <v>2020</v>
      </c>
      <c r="AH351" s="35">
        <v>2020</v>
      </c>
    </row>
    <row r="352" spans="1:46" ht="61.5" x14ac:dyDescent="0.85">
      <c r="A352" s="20">
        <v>1</v>
      </c>
      <c r="B352" s="66">
        <f>SUBTOTAL(103,$A$22:A352)</f>
        <v>316</v>
      </c>
      <c r="C352" s="24" t="s">
        <v>1646</v>
      </c>
      <c r="D352" s="31">
        <f t="shared" si="96"/>
        <v>2697246.34</v>
      </c>
      <c r="E352" s="38">
        <v>0</v>
      </c>
      <c r="F352" s="38">
        <v>0</v>
      </c>
      <c r="G352" s="31">
        <v>0</v>
      </c>
      <c r="H352" s="38">
        <v>0</v>
      </c>
      <c r="I352" s="38">
        <v>0</v>
      </c>
      <c r="J352" s="38">
        <v>0</v>
      </c>
      <c r="K352" s="33">
        <v>0</v>
      </c>
      <c r="L352" s="31">
        <v>0</v>
      </c>
      <c r="M352" s="31">
        <v>597.5</v>
      </c>
      <c r="N352" s="31">
        <v>2657385.56</v>
      </c>
      <c r="O352" s="38">
        <v>0</v>
      </c>
      <c r="P352" s="38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1">
        <v>0</v>
      </c>
      <c r="AA352" s="31">
        <v>0</v>
      </c>
      <c r="AB352" s="31">
        <v>0</v>
      </c>
      <c r="AC352" s="31">
        <f t="shared" si="102"/>
        <v>39860.78</v>
      </c>
      <c r="AD352" s="31">
        <v>0</v>
      </c>
      <c r="AE352" s="31">
        <v>0</v>
      </c>
      <c r="AF352" s="34" t="s">
        <v>274</v>
      </c>
      <c r="AG352" s="34">
        <v>2020</v>
      </c>
      <c r="AH352" s="35">
        <v>2020</v>
      </c>
    </row>
    <row r="353" spans="1:46" ht="61.5" x14ac:dyDescent="0.85">
      <c r="A353" s="20">
        <v>1</v>
      </c>
      <c r="B353" s="66">
        <f>SUBTOTAL(103,$A$22:A353)</f>
        <v>317</v>
      </c>
      <c r="C353" s="24" t="s">
        <v>1683</v>
      </c>
      <c r="D353" s="31">
        <f t="shared" si="96"/>
        <v>1515773.2100000002</v>
      </c>
      <c r="E353" s="38">
        <v>0</v>
      </c>
      <c r="F353" s="38">
        <v>0</v>
      </c>
      <c r="G353" s="31">
        <v>0</v>
      </c>
      <c r="H353" s="38">
        <v>0</v>
      </c>
      <c r="I353" s="38">
        <v>0</v>
      </c>
      <c r="J353" s="38">
        <v>0</v>
      </c>
      <c r="K353" s="33">
        <v>0</v>
      </c>
      <c r="L353" s="31">
        <v>0</v>
      </c>
      <c r="M353" s="31">
        <v>0</v>
      </c>
      <c r="N353" s="31">
        <v>0</v>
      </c>
      <c r="O353" s="38">
        <v>0</v>
      </c>
      <c r="P353" s="38">
        <v>0</v>
      </c>
      <c r="Q353" s="31">
        <v>377.9</v>
      </c>
      <c r="R353" s="31">
        <v>1394850.4500000002</v>
      </c>
      <c r="S353" s="31">
        <v>0</v>
      </c>
      <c r="T353" s="31">
        <v>0</v>
      </c>
      <c r="U353" s="31">
        <v>0</v>
      </c>
      <c r="V353" s="31">
        <v>0</v>
      </c>
      <c r="W353" s="31">
        <v>0</v>
      </c>
      <c r="X353" s="31">
        <v>0</v>
      </c>
      <c r="Y353" s="31">
        <v>0</v>
      </c>
      <c r="Z353" s="31">
        <v>0</v>
      </c>
      <c r="AA353" s="31">
        <v>0</v>
      </c>
      <c r="AB353" s="31">
        <v>0</v>
      </c>
      <c r="AC353" s="31">
        <f>ROUND(R353*1.5%,2)</f>
        <v>20922.759999999998</v>
      </c>
      <c r="AD353" s="31">
        <v>100000</v>
      </c>
      <c r="AE353" s="31">
        <v>0</v>
      </c>
      <c r="AF353" s="34">
        <v>2020</v>
      </c>
      <c r="AG353" s="34">
        <v>2020</v>
      </c>
      <c r="AH353" s="35">
        <v>2020</v>
      </c>
    </row>
    <row r="354" spans="1:46" ht="61.5" x14ac:dyDescent="0.85">
      <c r="B354" s="24" t="s">
        <v>868</v>
      </c>
      <c r="C354" s="24"/>
      <c r="D354" s="31">
        <f>SUM(D355:D360)</f>
        <v>4925031.5999999996</v>
      </c>
      <c r="E354" s="31">
        <f t="shared" ref="E354:AE354" si="103">SUM(E355:E360)</f>
        <v>0</v>
      </c>
      <c r="F354" s="31">
        <f t="shared" si="103"/>
        <v>0</v>
      </c>
      <c r="G354" s="31">
        <f t="shared" si="103"/>
        <v>0</v>
      </c>
      <c r="H354" s="31">
        <f t="shared" si="103"/>
        <v>268723.52</v>
      </c>
      <c r="I354" s="31">
        <f t="shared" si="103"/>
        <v>0</v>
      </c>
      <c r="J354" s="31">
        <f t="shared" si="103"/>
        <v>0</v>
      </c>
      <c r="K354" s="33">
        <f t="shared" si="103"/>
        <v>0</v>
      </c>
      <c r="L354" s="31">
        <f t="shared" si="103"/>
        <v>0</v>
      </c>
      <c r="M354" s="31">
        <f t="shared" si="103"/>
        <v>558</v>
      </c>
      <c r="N354" s="31">
        <f t="shared" si="103"/>
        <v>2404764.73</v>
      </c>
      <c r="O354" s="31">
        <f t="shared" si="103"/>
        <v>0</v>
      </c>
      <c r="P354" s="31">
        <f t="shared" si="103"/>
        <v>0</v>
      </c>
      <c r="Q354" s="31">
        <f t="shared" si="103"/>
        <v>369.1</v>
      </c>
      <c r="R354" s="31">
        <f t="shared" si="103"/>
        <v>1359619.7</v>
      </c>
      <c r="S354" s="31">
        <f t="shared" si="103"/>
        <v>41.6</v>
      </c>
      <c r="T354" s="31">
        <f t="shared" si="103"/>
        <v>395494.61</v>
      </c>
      <c r="U354" s="31">
        <f t="shared" si="103"/>
        <v>0</v>
      </c>
      <c r="V354" s="31">
        <f t="shared" si="103"/>
        <v>0</v>
      </c>
      <c r="W354" s="31">
        <f t="shared" si="103"/>
        <v>0</v>
      </c>
      <c r="X354" s="31">
        <f t="shared" si="103"/>
        <v>0</v>
      </c>
      <c r="Y354" s="31">
        <f t="shared" si="103"/>
        <v>0</v>
      </c>
      <c r="Z354" s="31">
        <f t="shared" si="103"/>
        <v>0</v>
      </c>
      <c r="AA354" s="31">
        <f t="shared" si="103"/>
        <v>0</v>
      </c>
      <c r="AB354" s="31">
        <f t="shared" si="103"/>
        <v>0</v>
      </c>
      <c r="AC354" s="31">
        <f t="shared" si="103"/>
        <v>66429.040000000008</v>
      </c>
      <c r="AD354" s="31">
        <f t="shared" si="103"/>
        <v>430000</v>
      </c>
      <c r="AE354" s="31">
        <f t="shared" si="103"/>
        <v>0</v>
      </c>
      <c r="AF354" s="72" t="s">
        <v>794</v>
      </c>
      <c r="AG354" s="72" t="s">
        <v>794</v>
      </c>
      <c r="AH354" s="91" t="s">
        <v>794</v>
      </c>
      <c r="AT354" s="20" t="e">
        <f>VLOOKUP(C354,AW:AX,2,FALSE)</f>
        <v>#N/A</v>
      </c>
    </row>
    <row r="355" spans="1:46" ht="61.5" x14ac:dyDescent="0.85">
      <c r="A355" s="20">
        <v>1</v>
      </c>
      <c r="B355" s="66">
        <f>SUBTOTAL(103,$A$22:A355)</f>
        <v>318</v>
      </c>
      <c r="C355" s="24" t="s">
        <v>251</v>
      </c>
      <c r="D355" s="31">
        <f t="shared" ref="D355:D357" si="104">E355+F355+G355+H355+I355+J355+L355+N355+P355+R355+T355+U355+V355+W355+X355+Y355+Z355+AA355+AB355+AC355+AD355+AE355</f>
        <v>286559.45999999996</v>
      </c>
      <c r="E355" s="31">
        <v>0</v>
      </c>
      <c r="F355" s="31">
        <v>0</v>
      </c>
      <c r="G355" s="31">
        <v>0</v>
      </c>
      <c r="H355" s="31">
        <v>134541.34</v>
      </c>
      <c r="I355" s="31">
        <v>0</v>
      </c>
      <c r="J355" s="31">
        <v>0</v>
      </c>
      <c r="K355" s="33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v>0</v>
      </c>
      <c r="Y355" s="31">
        <v>0</v>
      </c>
      <c r="Z355" s="31">
        <v>0</v>
      </c>
      <c r="AA355" s="31">
        <v>0</v>
      </c>
      <c r="AB355" s="31">
        <v>0</v>
      </c>
      <c r="AC355" s="31">
        <f t="shared" ref="AC355:AC356" si="105">ROUND((E355+F355+G355+H355+I355+J355)*1.5%,2)</f>
        <v>2018.12</v>
      </c>
      <c r="AD355" s="31">
        <v>150000</v>
      </c>
      <c r="AE355" s="31">
        <v>0</v>
      </c>
      <c r="AF355" s="34">
        <v>2020</v>
      </c>
      <c r="AG355" s="34">
        <v>2020</v>
      </c>
      <c r="AH355" s="35">
        <v>2020</v>
      </c>
      <c r="AT355" s="20" t="e">
        <f>VLOOKUP(C355,AW:AX,2,FALSE)</f>
        <v>#N/A</v>
      </c>
    </row>
    <row r="356" spans="1:46" ht="61.5" x14ac:dyDescent="0.85">
      <c r="A356" s="20">
        <v>1</v>
      </c>
      <c r="B356" s="66">
        <f>SUBTOTAL(103,$A$22:A356)</f>
        <v>319</v>
      </c>
      <c r="C356" s="24" t="s">
        <v>252</v>
      </c>
      <c r="D356" s="31">
        <f t="shared" si="104"/>
        <v>286194.91000000003</v>
      </c>
      <c r="E356" s="31">
        <v>0</v>
      </c>
      <c r="F356" s="31">
        <v>0</v>
      </c>
      <c r="G356" s="31">
        <v>0</v>
      </c>
      <c r="H356" s="31">
        <v>134182.18</v>
      </c>
      <c r="I356" s="31">
        <v>0</v>
      </c>
      <c r="J356" s="31">
        <v>0</v>
      </c>
      <c r="K356" s="33">
        <v>0</v>
      </c>
      <c r="L356" s="31">
        <v>0</v>
      </c>
      <c r="M356" s="31">
        <v>0</v>
      </c>
      <c r="N356" s="31">
        <v>0</v>
      </c>
      <c r="O356" s="31">
        <v>0</v>
      </c>
      <c r="P356" s="31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v>0</v>
      </c>
      <c r="Y356" s="31">
        <v>0</v>
      </c>
      <c r="Z356" s="31">
        <v>0</v>
      </c>
      <c r="AA356" s="31">
        <v>0</v>
      </c>
      <c r="AB356" s="31">
        <v>0</v>
      </c>
      <c r="AC356" s="31">
        <f t="shared" si="105"/>
        <v>2012.73</v>
      </c>
      <c r="AD356" s="31">
        <v>150000</v>
      </c>
      <c r="AE356" s="31">
        <v>0</v>
      </c>
      <c r="AF356" s="34">
        <v>2020</v>
      </c>
      <c r="AG356" s="34">
        <v>2020</v>
      </c>
      <c r="AH356" s="35">
        <v>2020</v>
      </c>
      <c r="AT356" s="20" t="e">
        <f>VLOOKUP(C356,AW:AX,2,FALSE)</f>
        <v>#N/A</v>
      </c>
    </row>
    <row r="357" spans="1:46" ht="61.5" x14ac:dyDescent="0.85">
      <c r="A357" s="20">
        <v>1</v>
      </c>
      <c r="B357" s="66">
        <f>SUBTOTAL(103,$A$22:A357)</f>
        <v>320</v>
      </c>
      <c r="C357" s="24" t="s">
        <v>1290</v>
      </c>
      <c r="D357" s="31">
        <f t="shared" si="104"/>
        <v>401427.02999999997</v>
      </c>
      <c r="E357" s="31">
        <v>0</v>
      </c>
      <c r="F357" s="31">
        <v>0</v>
      </c>
      <c r="G357" s="31">
        <v>0</v>
      </c>
      <c r="H357" s="31">
        <v>0</v>
      </c>
      <c r="I357" s="31">
        <v>0</v>
      </c>
      <c r="J357" s="31">
        <v>0</v>
      </c>
      <c r="K357" s="33">
        <v>0</v>
      </c>
      <c r="L357" s="31">
        <v>0</v>
      </c>
      <c r="M357" s="31">
        <v>0</v>
      </c>
      <c r="N357" s="31">
        <v>0</v>
      </c>
      <c r="O357" s="31">
        <v>0</v>
      </c>
      <c r="P357" s="31">
        <v>0</v>
      </c>
      <c r="Q357" s="31">
        <v>0</v>
      </c>
      <c r="R357" s="31">
        <v>0</v>
      </c>
      <c r="S357" s="31">
        <v>41.6</v>
      </c>
      <c r="T357" s="31">
        <v>395494.61</v>
      </c>
      <c r="U357" s="31">
        <v>0</v>
      </c>
      <c r="V357" s="31">
        <v>0</v>
      </c>
      <c r="W357" s="31">
        <v>0</v>
      </c>
      <c r="X357" s="31">
        <v>0</v>
      </c>
      <c r="Y357" s="31">
        <v>0</v>
      </c>
      <c r="Z357" s="31">
        <v>0</v>
      </c>
      <c r="AA357" s="31">
        <v>0</v>
      </c>
      <c r="AB357" s="31">
        <v>0</v>
      </c>
      <c r="AC357" s="31">
        <f>ROUND(T357*1.5%,2)</f>
        <v>5932.42</v>
      </c>
      <c r="AD357" s="31">
        <v>0</v>
      </c>
      <c r="AE357" s="31">
        <v>0</v>
      </c>
      <c r="AF357" s="34" t="s">
        <v>274</v>
      </c>
      <c r="AG357" s="34">
        <v>2020</v>
      </c>
      <c r="AH357" s="35">
        <v>2020</v>
      </c>
    </row>
    <row r="358" spans="1:46" ht="61.5" x14ac:dyDescent="0.85">
      <c r="A358" s="20">
        <v>1</v>
      </c>
      <c r="B358" s="66">
        <f>SUBTOTAL(103,$A$22:A358)</f>
        <v>321</v>
      </c>
      <c r="C358" s="24" t="s">
        <v>249</v>
      </c>
      <c r="D358" s="31">
        <f>E358+F358+G358+H358+I358+J358+L358+N358+P358+R358+T358+U358+V358+W358+X358+Y358+Z358+AA358+AB358+AC358+AD358+AE358</f>
        <v>1510014</v>
      </c>
      <c r="E358" s="31">
        <v>0</v>
      </c>
      <c r="F358" s="31">
        <v>0</v>
      </c>
      <c r="G358" s="31">
        <v>0</v>
      </c>
      <c r="H358" s="31">
        <v>0</v>
      </c>
      <c r="I358" s="31">
        <v>0</v>
      </c>
      <c r="J358" s="31">
        <v>0</v>
      </c>
      <c r="K358" s="33">
        <v>0</v>
      </c>
      <c r="L358" s="31">
        <v>0</v>
      </c>
      <c r="M358" s="31">
        <v>0</v>
      </c>
      <c r="N358" s="31">
        <v>0</v>
      </c>
      <c r="O358" s="31">
        <v>0</v>
      </c>
      <c r="P358" s="31">
        <v>0</v>
      </c>
      <c r="Q358" s="31">
        <v>369.1</v>
      </c>
      <c r="R358" s="31">
        <v>1359619.7</v>
      </c>
      <c r="S358" s="31">
        <v>0</v>
      </c>
      <c r="T358" s="31">
        <v>0</v>
      </c>
      <c r="U358" s="31">
        <v>0</v>
      </c>
      <c r="V358" s="31">
        <v>0</v>
      </c>
      <c r="W358" s="31">
        <v>0</v>
      </c>
      <c r="X358" s="31">
        <v>0</v>
      </c>
      <c r="Y358" s="31">
        <v>0</v>
      </c>
      <c r="Z358" s="31">
        <v>0</v>
      </c>
      <c r="AA358" s="31">
        <v>0</v>
      </c>
      <c r="AB358" s="31">
        <v>0</v>
      </c>
      <c r="AC358" s="31">
        <f>ROUND(R358*1.5%,2)</f>
        <v>20394.3</v>
      </c>
      <c r="AD358" s="31">
        <v>130000</v>
      </c>
      <c r="AE358" s="31">
        <v>0</v>
      </c>
      <c r="AF358" s="34">
        <v>2020</v>
      </c>
      <c r="AG358" s="34">
        <v>2020</v>
      </c>
      <c r="AH358" s="35">
        <v>2020</v>
      </c>
      <c r="AT358" s="20" t="e">
        <f>VLOOKUP(C358,AW:AX,2,FALSE)</f>
        <v>#N/A</v>
      </c>
    </row>
    <row r="359" spans="1:46" ht="123" x14ac:dyDescent="0.85">
      <c r="A359" s="20">
        <v>1</v>
      </c>
      <c r="B359" s="66">
        <f>SUBTOTAL(103,$A$22:A359)</f>
        <v>322</v>
      </c>
      <c r="C359" s="107" t="s">
        <v>1632</v>
      </c>
      <c r="D359" s="31">
        <f>E359+F359+G359+H359+I359+J359+L359+N359+P359+R359+T359+U359+V359+W359+X359+Y359+Z359+AA359+AB359+AC359+AD359+AE359</f>
        <v>994570.83</v>
      </c>
      <c r="E359" s="31">
        <v>0</v>
      </c>
      <c r="F359" s="31">
        <v>0</v>
      </c>
      <c r="G359" s="31">
        <v>0</v>
      </c>
      <c r="H359" s="31">
        <v>0</v>
      </c>
      <c r="I359" s="31">
        <v>0</v>
      </c>
      <c r="J359" s="31">
        <v>0</v>
      </c>
      <c r="K359" s="33">
        <v>0</v>
      </c>
      <c r="L359" s="31">
        <v>0</v>
      </c>
      <c r="M359" s="31">
        <v>249</v>
      </c>
      <c r="N359" s="31">
        <v>979872.74</v>
      </c>
      <c r="O359" s="31">
        <v>0</v>
      </c>
      <c r="P359" s="31">
        <v>0</v>
      </c>
      <c r="Q359" s="31">
        <v>0</v>
      </c>
      <c r="R359" s="31">
        <v>0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v>0</v>
      </c>
      <c r="Y359" s="31">
        <v>0</v>
      </c>
      <c r="Z359" s="31">
        <v>0</v>
      </c>
      <c r="AA359" s="31">
        <v>0</v>
      </c>
      <c r="AB359" s="31">
        <v>0</v>
      </c>
      <c r="AC359" s="31">
        <f>ROUND(N359*1.5%,2)</f>
        <v>14698.09</v>
      </c>
      <c r="AD359" s="31">
        <v>0</v>
      </c>
      <c r="AE359" s="31">
        <v>0</v>
      </c>
      <c r="AF359" s="34" t="s">
        <v>274</v>
      </c>
      <c r="AG359" s="34">
        <v>2020</v>
      </c>
      <c r="AH359" s="35">
        <v>2020</v>
      </c>
    </row>
    <row r="360" spans="1:46" ht="61.5" x14ac:dyDescent="0.85">
      <c r="A360" s="20">
        <v>1</v>
      </c>
      <c r="B360" s="66">
        <f>SUBTOTAL(103,$A$22:A360)</f>
        <v>323</v>
      </c>
      <c r="C360" s="107" t="s">
        <v>1633</v>
      </c>
      <c r="D360" s="31">
        <f>E360+F360+G360+H360+I360+J360+L360+N360+P360+R360+T360+U360+V360+W360+X360+Y360+Z360+AA360+AB360+AC360+AD360+AE360</f>
        <v>1446265.3699999999</v>
      </c>
      <c r="E360" s="31">
        <v>0</v>
      </c>
      <c r="F360" s="31">
        <v>0</v>
      </c>
      <c r="G360" s="31">
        <v>0</v>
      </c>
      <c r="H360" s="31">
        <v>0</v>
      </c>
      <c r="I360" s="31">
        <v>0</v>
      </c>
      <c r="J360" s="31">
        <v>0</v>
      </c>
      <c r="K360" s="33">
        <v>0</v>
      </c>
      <c r="L360" s="31">
        <v>0</v>
      </c>
      <c r="M360" s="31">
        <v>309</v>
      </c>
      <c r="N360" s="31">
        <v>1424891.99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v>0</v>
      </c>
      <c r="Y360" s="31">
        <v>0</v>
      </c>
      <c r="Z360" s="31">
        <v>0</v>
      </c>
      <c r="AA360" s="31">
        <v>0</v>
      </c>
      <c r="AB360" s="31">
        <v>0</v>
      </c>
      <c r="AC360" s="31">
        <f>ROUND(N360*1.5%,2)</f>
        <v>21373.38</v>
      </c>
      <c r="AD360" s="31">
        <v>0</v>
      </c>
      <c r="AE360" s="31">
        <v>0</v>
      </c>
      <c r="AF360" s="34" t="s">
        <v>274</v>
      </c>
      <c r="AG360" s="34">
        <v>2020</v>
      </c>
      <c r="AH360" s="35">
        <v>2020</v>
      </c>
    </row>
    <row r="361" spans="1:46" ht="61.5" x14ac:dyDescent="0.85">
      <c r="B361" s="24" t="s">
        <v>869</v>
      </c>
      <c r="C361" s="24"/>
      <c r="D361" s="31">
        <f>SUM(D362:D364)</f>
        <v>5532352.54</v>
      </c>
      <c r="E361" s="31">
        <f t="shared" ref="E361:AE361" si="106">SUM(E362:E364)</f>
        <v>0</v>
      </c>
      <c r="F361" s="31">
        <f t="shared" si="106"/>
        <v>0</v>
      </c>
      <c r="G361" s="31">
        <f t="shared" si="106"/>
        <v>0</v>
      </c>
      <c r="H361" s="31">
        <f t="shared" si="106"/>
        <v>0</v>
      </c>
      <c r="I361" s="31">
        <f t="shared" si="106"/>
        <v>0</v>
      </c>
      <c r="J361" s="31">
        <f t="shared" si="106"/>
        <v>0</v>
      </c>
      <c r="K361" s="33">
        <f t="shared" si="106"/>
        <v>0</v>
      </c>
      <c r="L361" s="31">
        <f t="shared" si="106"/>
        <v>0</v>
      </c>
      <c r="M361" s="31">
        <f t="shared" si="106"/>
        <v>0</v>
      </c>
      <c r="N361" s="31">
        <f t="shared" si="106"/>
        <v>0</v>
      </c>
      <c r="O361" s="31">
        <f t="shared" si="106"/>
        <v>0</v>
      </c>
      <c r="P361" s="31">
        <f t="shared" si="106"/>
        <v>0</v>
      </c>
      <c r="Q361" s="31">
        <f t="shared" si="106"/>
        <v>1645.74</v>
      </c>
      <c r="R361" s="31">
        <f t="shared" si="106"/>
        <v>5322514.8199999994</v>
      </c>
      <c r="S361" s="31">
        <f t="shared" si="106"/>
        <v>0</v>
      </c>
      <c r="T361" s="31">
        <f t="shared" si="106"/>
        <v>0</v>
      </c>
      <c r="U361" s="31">
        <f t="shared" si="106"/>
        <v>0</v>
      </c>
      <c r="V361" s="31">
        <f t="shared" si="106"/>
        <v>0</v>
      </c>
      <c r="W361" s="31">
        <f t="shared" si="106"/>
        <v>0</v>
      </c>
      <c r="X361" s="31">
        <f t="shared" si="106"/>
        <v>0</v>
      </c>
      <c r="Y361" s="31">
        <f t="shared" si="106"/>
        <v>0</v>
      </c>
      <c r="Z361" s="31">
        <f t="shared" si="106"/>
        <v>0</v>
      </c>
      <c r="AA361" s="31">
        <f t="shared" si="106"/>
        <v>0</v>
      </c>
      <c r="AB361" s="31">
        <f t="shared" si="106"/>
        <v>0</v>
      </c>
      <c r="AC361" s="31">
        <f t="shared" si="106"/>
        <v>79837.72</v>
      </c>
      <c r="AD361" s="31">
        <f t="shared" si="106"/>
        <v>130000</v>
      </c>
      <c r="AE361" s="31">
        <f t="shared" si="106"/>
        <v>0</v>
      </c>
      <c r="AF361" s="72" t="s">
        <v>794</v>
      </c>
      <c r="AG361" s="72" t="s">
        <v>794</v>
      </c>
      <c r="AH361" s="91" t="s">
        <v>794</v>
      </c>
      <c r="AT361" s="20" t="e">
        <f>VLOOKUP(C361,AW:AX,2,FALSE)</f>
        <v>#N/A</v>
      </c>
    </row>
    <row r="362" spans="1:46" ht="61.5" x14ac:dyDescent="0.85">
      <c r="A362" s="20">
        <v>1</v>
      </c>
      <c r="B362" s="66">
        <f>SUBTOTAL(103,$A$22:A362)</f>
        <v>324</v>
      </c>
      <c r="C362" s="24" t="s">
        <v>246</v>
      </c>
      <c r="D362" s="31">
        <f t="shared" ref="D362:D364" si="107">E362+F362+G362+H362+I362+J362+L362+N362+P362+R362+T362+U362+V362+W362+X362+Y362+Z362+AA362+AB362+AC362+AD362+AE362</f>
        <v>1765119.99</v>
      </c>
      <c r="E362" s="31">
        <v>0</v>
      </c>
      <c r="F362" s="31">
        <v>0</v>
      </c>
      <c r="G362" s="31">
        <v>0</v>
      </c>
      <c r="H362" s="31">
        <v>0</v>
      </c>
      <c r="I362" s="31">
        <v>0</v>
      </c>
      <c r="J362" s="31">
        <v>0</v>
      </c>
      <c r="K362" s="33">
        <v>0</v>
      </c>
      <c r="L362" s="31">
        <v>0</v>
      </c>
      <c r="M362" s="31">
        <v>0</v>
      </c>
      <c r="N362" s="31">
        <v>0</v>
      </c>
      <c r="O362" s="31">
        <v>0</v>
      </c>
      <c r="P362" s="31">
        <v>0</v>
      </c>
      <c r="Q362" s="31">
        <v>490.6</v>
      </c>
      <c r="R362" s="31">
        <v>1610955.66</v>
      </c>
      <c r="S362" s="31">
        <v>0</v>
      </c>
      <c r="T362" s="31">
        <v>0</v>
      </c>
      <c r="U362" s="31">
        <v>0</v>
      </c>
      <c r="V362" s="31">
        <v>0</v>
      </c>
      <c r="W362" s="31">
        <v>0</v>
      </c>
      <c r="X362" s="31">
        <v>0</v>
      </c>
      <c r="Y362" s="31">
        <v>0</v>
      </c>
      <c r="Z362" s="31">
        <v>0</v>
      </c>
      <c r="AA362" s="31">
        <v>0</v>
      </c>
      <c r="AB362" s="31">
        <v>0</v>
      </c>
      <c r="AC362" s="31">
        <f t="shared" ref="AC362:AC364" si="108">ROUND(R362*1.5%,2)</f>
        <v>24164.33</v>
      </c>
      <c r="AD362" s="31">
        <v>130000</v>
      </c>
      <c r="AE362" s="31">
        <v>0</v>
      </c>
      <c r="AF362" s="34">
        <v>2020</v>
      </c>
      <c r="AG362" s="34">
        <v>2020</v>
      </c>
      <c r="AH362" s="35">
        <v>2020</v>
      </c>
      <c r="AT362" s="20" t="e">
        <f>VLOOKUP(C362,AW:AX,2,FALSE)</f>
        <v>#N/A</v>
      </c>
    </row>
    <row r="363" spans="1:46" ht="61.5" x14ac:dyDescent="0.85">
      <c r="A363" s="20">
        <v>1</v>
      </c>
      <c r="B363" s="66">
        <f>SUBTOTAL(103,$A$22:A363)</f>
        <v>325</v>
      </c>
      <c r="C363" s="24" t="s">
        <v>1288</v>
      </c>
      <c r="D363" s="31">
        <f t="shared" si="107"/>
        <v>2476874.58</v>
      </c>
      <c r="E363" s="38">
        <v>0</v>
      </c>
      <c r="F363" s="38">
        <v>0</v>
      </c>
      <c r="G363" s="31">
        <v>0</v>
      </c>
      <c r="H363" s="38">
        <v>0</v>
      </c>
      <c r="I363" s="38">
        <v>0</v>
      </c>
      <c r="J363" s="38">
        <v>0</v>
      </c>
      <c r="K363" s="33">
        <v>0</v>
      </c>
      <c r="L363" s="31">
        <v>0</v>
      </c>
      <c r="M363" s="31">
        <v>0</v>
      </c>
      <c r="N363" s="31">
        <v>0</v>
      </c>
      <c r="O363" s="38">
        <v>0</v>
      </c>
      <c r="P363" s="38">
        <v>0</v>
      </c>
      <c r="Q363" s="31">
        <v>658.14</v>
      </c>
      <c r="R363" s="31">
        <v>2440270.52</v>
      </c>
      <c r="S363" s="31">
        <v>0</v>
      </c>
      <c r="T363" s="31">
        <v>0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0</v>
      </c>
      <c r="AA363" s="31">
        <v>0</v>
      </c>
      <c r="AB363" s="31">
        <v>0</v>
      </c>
      <c r="AC363" s="31">
        <f t="shared" si="108"/>
        <v>36604.06</v>
      </c>
      <c r="AD363" s="31">
        <v>0</v>
      </c>
      <c r="AE363" s="31">
        <v>0</v>
      </c>
      <c r="AF363" s="34" t="s">
        <v>274</v>
      </c>
      <c r="AG363" s="34">
        <v>2020</v>
      </c>
      <c r="AH363" s="35">
        <v>2020</v>
      </c>
    </row>
    <row r="364" spans="1:46" ht="61.5" x14ac:dyDescent="0.85">
      <c r="A364" s="20">
        <v>1</v>
      </c>
      <c r="B364" s="66">
        <f>SUBTOTAL(103,$A$22:A364)</f>
        <v>326</v>
      </c>
      <c r="C364" s="24" t="s">
        <v>1289</v>
      </c>
      <c r="D364" s="31">
        <f t="shared" si="107"/>
        <v>1290357.97</v>
      </c>
      <c r="E364" s="38">
        <v>0</v>
      </c>
      <c r="F364" s="38">
        <v>0</v>
      </c>
      <c r="G364" s="31">
        <v>0</v>
      </c>
      <c r="H364" s="38">
        <v>0</v>
      </c>
      <c r="I364" s="38">
        <v>0</v>
      </c>
      <c r="J364" s="38">
        <v>0</v>
      </c>
      <c r="K364" s="33">
        <v>0</v>
      </c>
      <c r="L364" s="31">
        <v>0</v>
      </c>
      <c r="M364" s="31">
        <v>0</v>
      </c>
      <c r="N364" s="31">
        <v>0</v>
      </c>
      <c r="O364" s="38">
        <v>0</v>
      </c>
      <c r="P364" s="38">
        <v>0</v>
      </c>
      <c r="Q364" s="31">
        <v>497</v>
      </c>
      <c r="R364" s="31">
        <v>1271288.6399999999</v>
      </c>
      <c r="S364" s="31">
        <v>0</v>
      </c>
      <c r="T364" s="31">
        <v>0</v>
      </c>
      <c r="U364" s="31">
        <v>0</v>
      </c>
      <c r="V364" s="31">
        <v>0</v>
      </c>
      <c r="W364" s="31">
        <v>0</v>
      </c>
      <c r="X364" s="31">
        <v>0</v>
      </c>
      <c r="Y364" s="31">
        <v>0</v>
      </c>
      <c r="Z364" s="31">
        <v>0</v>
      </c>
      <c r="AA364" s="31">
        <v>0</v>
      </c>
      <c r="AB364" s="31">
        <v>0</v>
      </c>
      <c r="AC364" s="31">
        <f t="shared" si="108"/>
        <v>19069.330000000002</v>
      </c>
      <c r="AD364" s="31">
        <v>0</v>
      </c>
      <c r="AE364" s="31">
        <v>0</v>
      </c>
      <c r="AF364" s="34" t="s">
        <v>274</v>
      </c>
      <c r="AG364" s="34">
        <v>2020</v>
      </c>
      <c r="AH364" s="35">
        <v>2020</v>
      </c>
    </row>
    <row r="365" spans="1:46" ht="61.5" x14ac:dyDescent="0.85">
      <c r="B365" s="24" t="s">
        <v>870</v>
      </c>
      <c r="C365" s="118"/>
      <c r="D365" s="30">
        <f>SUM(D366:D367)</f>
        <v>7838189.9699999997</v>
      </c>
      <c r="E365" s="30">
        <f t="shared" ref="E365:AE365" si="109">SUM(E366:E367)</f>
        <v>0</v>
      </c>
      <c r="F365" s="30">
        <f t="shared" si="109"/>
        <v>0</v>
      </c>
      <c r="G365" s="30">
        <f t="shared" si="109"/>
        <v>0</v>
      </c>
      <c r="H365" s="30">
        <f t="shared" si="109"/>
        <v>0</v>
      </c>
      <c r="I365" s="30">
        <f t="shared" si="109"/>
        <v>0</v>
      </c>
      <c r="J365" s="30">
        <f t="shared" si="109"/>
        <v>0</v>
      </c>
      <c r="K365" s="90">
        <f t="shared" si="109"/>
        <v>0</v>
      </c>
      <c r="L365" s="30">
        <f t="shared" si="109"/>
        <v>0</v>
      </c>
      <c r="M365" s="30">
        <f t="shared" si="109"/>
        <v>1255.04</v>
      </c>
      <c r="N365" s="30">
        <f t="shared" si="109"/>
        <v>7574570.9399999995</v>
      </c>
      <c r="O365" s="30">
        <f t="shared" si="109"/>
        <v>0</v>
      </c>
      <c r="P365" s="30">
        <f t="shared" si="109"/>
        <v>0</v>
      </c>
      <c r="Q365" s="30">
        <f t="shared" si="109"/>
        <v>0</v>
      </c>
      <c r="R365" s="30">
        <f t="shared" si="109"/>
        <v>0</v>
      </c>
      <c r="S365" s="30">
        <f t="shared" si="109"/>
        <v>0</v>
      </c>
      <c r="T365" s="30">
        <f t="shared" si="109"/>
        <v>0</v>
      </c>
      <c r="U365" s="30">
        <f t="shared" si="109"/>
        <v>0</v>
      </c>
      <c r="V365" s="30">
        <f t="shared" si="109"/>
        <v>0</v>
      </c>
      <c r="W365" s="30">
        <f t="shared" si="109"/>
        <v>0</v>
      </c>
      <c r="X365" s="30">
        <f t="shared" si="109"/>
        <v>0</v>
      </c>
      <c r="Y365" s="30">
        <f t="shared" si="109"/>
        <v>0</v>
      </c>
      <c r="Z365" s="30">
        <f t="shared" si="109"/>
        <v>0</v>
      </c>
      <c r="AA365" s="30">
        <f t="shared" si="109"/>
        <v>0</v>
      </c>
      <c r="AB365" s="30">
        <f t="shared" si="109"/>
        <v>0</v>
      </c>
      <c r="AC365" s="30">
        <f t="shared" si="109"/>
        <v>113618.57</v>
      </c>
      <c r="AD365" s="30">
        <f t="shared" si="109"/>
        <v>150000.46</v>
      </c>
      <c r="AE365" s="30">
        <f t="shared" si="109"/>
        <v>0</v>
      </c>
      <c r="AF365" s="72" t="s">
        <v>794</v>
      </c>
      <c r="AG365" s="72" t="s">
        <v>794</v>
      </c>
      <c r="AH365" s="91" t="s">
        <v>794</v>
      </c>
      <c r="AT365" s="20" t="e">
        <f>VLOOKUP(C365,AW:AX,2,FALSE)</f>
        <v>#N/A</v>
      </c>
    </row>
    <row r="366" spans="1:46" ht="61.5" x14ac:dyDescent="0.85">
      <c r="A366" s="20">
        <v>1</v>
      </c>
      <c r="B366" s="66">
        <f>SUBTOTAL(103,$A$22:A366)</f>
        <v>327</v>
      </c>
      <c r="C366" s="25" t="s">
        <v>0</v>
      </c>
      <c r="D366" s="31">
        <f t="shared" ref="D366:D367" si="110">E366+F366+G366+H366+I366+J366+L366+N366+P366+R366+T366+U366+V366+W366+X366+Y366+Z366+AA366+AB366+AC366+AD366+AE366</f>
        <v>3718130.24</v>
      </c>
      <c r="E366" s="31">
        <v>0</v>
      </c>
      <c r="F366" s="31">
        <v>0</v>
      </c>
      <c r="G366" s="31">
        <v>0</v>
      </c>
      <c r="H366" s="31">
        <v>0</v>
      </c>
      <c r="I366" s="31">
        <v>0</v>
      </c>
      <c r="J366" s="31">
        <v>0</v>
      </c>
      <c r="K366" s="33">
        <v>0</v>
      </c>
      <c r="L366" s="31">
        <v>0</v>
      </c>
      <c r="M366" s="31">
        <v>618.4</v>
      </c>
      <c r="N366" s="31">
        <f>3207009.55+456172.95</f>
        <v>3663182.5</v>
      </c>
      <c r="O366" s="31">
        <v>0</v>
      </c>
      <c r="P366" s="31">
        <v>0</v>
      </c>
      <c r="Q366" s="31">
        <v>0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0</v>
      </c>
      <c r="AA366" s="31">
        <v>0</v>
      </c>
      <c r="AB366" s="31">
        <v>0</v>
      </c>
      <c r="AC366" s="31">
        <f t="shared" ref="AC366:AC367" si="111">ROUND(N366*1.5%,2)</f>
        <v>54947.74</v>
      </c>
      <c r="AD366" s="31">
        <v>0</v>
      </c>
      <c r="AE366" s="31">
        <v>0</v>
      </c>
      <c r="AF366" s="34" t="s">
        <v>274</v>
      </c>
      <c r="AG366" s="34">
        <v>2020</v>
      </c>
      <c r="AH366" s="35">
        <v>2020</v>
      </c>
      <c r="AT366" s="20" t="e">
        <f>VLOOKUP(C366,AW:AX,2,FALSE)</f>
        <v>#N/A</v>
      </c>
    </row>
    <row r="367" spans="1:46" ht="61.5" x14ac:dyDescent="0.85">
      <c r="A367" s="20">
        <v>1</v>
      </c>
      <c r="B367" s="66">
        <f>SUBTOTAL(103,$A$22:A367)</f>
        <v>328</v>
      </c>
      <c r="C367" s="24" t="s">
        <v>5</v>
      </c>
      <c r="D367" s="31">
        <f t="shared" si="110"/>
        <v>4120059.7299999995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3">
        <v>0</v>
      </c>
      <c r="L367" s="31">
        <v>0</v>
      </c>
      <c r="M367" s="31">
        <v>636.64</v>
      </c>
      <c r="N367" s="31">
        <f>3127494.34+147783.25+128832.61+507278.24</f>
        <v>3911388.4399999995</v>
      </c>
      <c r="O367" s="31">
        <v>0</v>
      </c>
      <c r="P367" s="31">
        <v>0</v>
      </c>
      <c r="Q367" s="31">
        <v>0</v>
      </c>
      <c r="R367" s="31">
        <v>0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0</v>
      </c>
      <c r="AA367" s="31">
        <v>0</v>
      </c>
      <c r="AB367" s="31">
        <v>0</v>
      </c>
      <c r="AC367" s="31">
        <f t="shared" si="111"/>
        <v>58670.83</v>
      </c>
      <c r="AD367" s="31">
        <f>150000+0.46</f>
        <v>150000.46</v>
      </c>
      <c r="AE367" s="31">
        <v>0</v>
      </c>
      <c r="AF367" s="34">
        <v>2020</v>
      </c>
      <c r="AG367" s="34">
        <v>2020</v>
      </c>
      <c r="AH367" s="35">
        <v>2020</v>
      </c>
      <c r="AT367" s="20" t="e">
        <f>VLOOKUP(C367,AW:AX,2,FALSE)</f>
        <v>#N/A</v>
      </c>
    </row>
    <row r="368" spans="1:46" ht="61.5" x14ac:dyDescent="0.85">
      <c r="B368" s="24" t="s">
        <v>871</v>
      </c>
      <c r="C368" s="117"/>
      <c r="D368" s="31">
        <f>SUM(D369:D371)</f>
        <v>11111629.25</v>
      </c>
      <c r="E368" s="31">
        <f t="shared" ref="E368:AE368" si="112">SUM(E369:E371)</f>
        <v>0</v>
      </c>
      <c r="F368" s="31">
        <f t="shared" si="112"/>
        <v>0</v>
      </c>
      <c r="G368" s="31">
        <f t="shared" si="112"/>
        <v>8059420.6699999999</v>
      </c>
      <c r="H368" s="31">
        <f t="shared" si="112"/>
        <v>0</v>
      </c>
      <c r="I368" s="31">
        <f t="shared" si="112"/>
        <v>0</v>
      </c>
      <c r="J368" s="31">
        <f t="shared" si="112"/>
        <v>0</v>
      </c>
      <c r="K368" s="33">
        <f t="shared" si="112"/>
        <v>0</v>
      </c>
      <c r="L368" s="31">
        <f t="shared" si="112"/>
        <v>0</v>
      </c>
      <c r="M368" s="31">
        <f t="shared" si="112"/>
        <v>612.15</v>
      </c>
      <c r="N368" s="31">
        <f t="shared" si="112"/>
        <v>2651544.11</v>
      </c>
      <c r="O368" s="31">
        <f t="shared" si="112"/>
        <v>0</v>
      </c>
      <c r="P368" s="31">
        <f t="shared" si="112"/>
        <v>0</v>
      </c>
      <c r="Q368" s="31">
        <f t="shared" si="112"/>
        <v>0</v>
      </c>
      <c r="R368" s="31">
        <f t="shared" si="112"/>
        <v>0</v>
      </c>
      <c r="S368" s="31">
        <f t="shared" si="112"/>
        <v>0</v>
      </c>
      <c r="T368" s="31">
        <f t="shared" si="112"/>
        <v>0</v>
      </c>
      <c r="U368" s="31">
        <f t="shared" si="112"/>
        <v>0</v>
      </c>
      <c r="V368" s="31">
        <f t="shared" si="112"/>
        <v>0</v>
      </c>
      <c r="W368" s="31">
        <f t="shared" si="112"/>
        <v>0</v>
      </c>
      <c r="X368" s="31">
        <f t="shared" si="112"/>
        <v>0</v>
      </c>
      <c r="Y368" s="31">
        <f t="shared" si="112"/>
        <v>0</v>
      </c>
      <c r="Z368" s="31">
        <f t="shared" si="112"/>
        <v>0</v>
      </c>
      <c r="AA368" s="31">
        <f t="shared" si="112"/>
        <v>0</v>
      </c>
      <c r="AB368" s="31">
        <f t="shared" si="112"/>
        <v>0</v>
      </c>
      <c r="AC368" s="31">
        <f t="shared" si="112"/>
        <v>160664.47</v>
      </c>
      <c r="AD368" s="31">
        <f t="shared" si="112"/>
        <v>240000</v>
      </c>
      <c r="AE368" s="31">
        <f t="shared" si="112"/>
        <v>0</v>
      </c>
      <c r="AF368" s="72" t="s">
        <v>794</v>
      </c>
      <c r="AG368" s="72" t="s">
        <v>794</v>
      </c>
      <c r="AH368" s="91" t="s">
        <v>794</v>
      </c>
      <c r="AT368" s="20" t="e">
        <f>VLOOKUP(C368,AW:AX,2,FALSE)</f>
        <v>#N/A</v>
      </c>
    </row>
    <row r="369" spans="1:80" ht="61.5" x14ac:dyDescent="0.85">
      <c r="A369" s="20">
        <v>1</v>
      </c>
      <c r="B369" s="66">
        <f>SUBTOTAL(103,$A$22:A369)</f>
        <v>329</v>
      </c>
      <c r="C369" s="24" t="s">
        <v>734</v>
      </c>
      <c r="D369" s="31">
        <f t="shared" ref="D369:D371" si="113">E369+F369+G369+H369+I369+J369+L369+N369+P369+R369+T369+U369+V369+W369+X369+Y369+Z369+AA369+AB369+AC369+AD369+AE369</f>
        <v>977099.87</v>
      </c>
      <c r="E369" s="31">
        <v>0</v>
      </c>
      <c r="F369" s="31">
        <v>0</v>
      </c>
      <c r="G369" s="31">
        <v>0</v>
      </c>
      <c r="H369" s="31">
        <v>0</v>
      </c>
      <c r="I369" s="31">
        <v>0</v>
      </c>
      <c r="J369" s="31">
        <v>0</v>
      </c>
      <c r="K369" s="33">
        <v>0</v>
      </c>
      <c r="L369" s="31">
        <v>0</v>
      </c>
      <c r="M369" s="31">
        <v>182</v>
      </c>
      <c r="N369" s="31">
        <f>839245.52+5187.85</f>
        <v>844433.37</v>
      </c>
      <c r="O369" s="31">
        <v>0</v>
      </c>
      <c r="P369" s="31">
        <v>0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0</v>
      </c>
      <c r="AA369" s="31">
        <v>0</v>
      </c>
      <c r="AB369" s="31">
        <v>0</v>
      </c>
      <c r="AC369" s="31">
        <f>ROUND(N369*1.5%,2)</f>
        <v>12666.5</v>
      </c>
      <c r="AD369" s="31">
        <v>120000</v>
      </c>
      <c r="AE369" s="31">
        <v>0</v>
      </c>
      <c r="AF369" s="34">
        <v>2020</v>
      </c>
      <c r="AG369" s="34">
        <v>2020</v>
      </c>
      <c r="AH369" s="35">
        <v>2020</v>
      </c>
      <c r="AT369" s="20" t="e">
        <f>VLOOKUP(C369,AW:AX,2,FALSE)</f>
        <v>#N/A</v>
      </c>
    </row>
    <row r="370" spans="1:80" ht="61.5" x14ac:dyDescent="0.85">
      <c r="A370" s="20">
        <v>1</v>
      </c>
      <c r="B370" s="66">
        <f>SUBTOTAL(103,$A$22:A370)</f>
        <v>330</v>
      </c>
      <c r="C370" s="24" t="s">
        <v>1291</v>
      </c>
      <c r="D370" s="31">
        <f t="shared" si="113"/>
        <v>8180311.9799999995</v>
      </c>
      <c r="E370" s="38">
        <v>0</v>
      </c>
      <c r="F370" s="38">
        <v>0</v>
      </c>
      <c r="G370" s="31">
        <f>8026601.29+32819.38</f>
        <v>8059420.6699999999</v>
      </c>
      <c r="H370" s="38">
        <v>0</v>
      </c>
      <c r="I370" s="38">
        <v>0</v>
      </c>
      <c r="J370" s="38">
        <v>0</v>
      </c>
      <c r="K370" s="33">
        <v>0</v>
      </c>
      <c r="L370" s="31">
        <v>0</v>
      </c>
      <c r="M370" s="31">
        <v>0</v>
      </c>
      <c r="N370" s="31">
        <v>0</v>
      </c>
      <c r="O370" s="38">
        <v>0</v>
      </c>
      <c r="P370" s="38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1">
        <v>0</v>
      </c>
      <c r="AA370" s="31">
        <v>0</v>
      </c>
      <c r="AB370" s="31">
        <v>0</v>
      </c>
      <c r="AC370" s="31">
        <f t="shared" ref="AC370" si="114">ROUND((E370+F370+G370+H370+I370+J370)*1.5%,2)</f>
        <v>120891.31</v>
      </c>
      <c r="AD370" s="31">
        <v>0</v>
      </c>
      <c r="AE370" s="31">
        <v>0</v>
      </c>
      <c r="AF370" s="34" t="s">
        <v>274</v>
      </c>
      <c r="AG370" s="34">
        <v>2020</v>
      </c>
      <c r="AH370" s="35">
        <v>2020</v>
      </c>
    </row>
    <row r="371" spans="1:80" ht="61.5" x14ac:dyDescent="0.85">
      <c r="A371" s="20">
        <v>1</v>
      </c>
      <c r="B371" s="66">
        <f>SUBTOTAL(103,$A$22:A371)</f>
        <v>331</v>
      </c>
      <c r="C371" s="24" t="s">
        <v>1670</v>
      </c>
      <c r="D371" s="31">
        <f t="shared" si="113"/>
        <v>1954217.4</v>
      </c>
      <c r="E371" s="38">
        <v>0</v>
      </c>
      <c r="F371" s="38">
        <v>0</v>
      </c>
      <c r="G371" s="31">
        <v>0</v>
      </c>
      <c r="H371" s="38">
        <v>0</v>
      </c>
      <c r="I371" s="38">
        <v>0</v>
      </c>
      <c r="J371" s="38">
        <v>0</v>
      </c>
      <c r="K371" s="33">
        <v>0</v>
      </c>
      <c r="L371" s="31">
        <v>0</v>
      </c>
      <c r="M371" s="31">
        <v>430.15</v>
      </c>
      <c r="N371" s="31">
        <v>1807110.74</v>
      </c>
      <c r="O371" s="38">
        <v>0</v>
      </c>
      <c r="P371" s="38">
        <v>0</v>
      </c>
      <c r="Q371" s="31">
        <v>0</v>
      </c>
      <c r="R371" s="31">
        <v>0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v>0</v>
      </c>
      <c r="Y371" s="31">
        <v>0</v>
      </c>
      <c r="Z371" s="31">
        <v>0</v>
      </c>
      <c r="AA371" s="31">
        <v>0</v>
      </c>
      <c r="AB371" s="31">
        <v>0</v>
      </c>
      <c r="AC371" s="31">
        <f>ROUND(N371*1.5%,2)</f>
        <v>27106.66</v>
      </c>
      <c r="AD371" s="31">
        <v>120000</v>
      </c>
      <c r="AE371" s="31">
        <v>0</v>
      </c>
      <c r="AF371" s="34">
        <v>2020</v>
      </c>
      <c r="AG371" s="34">
        <v>2020</v>
      </c>
      <c r="AH371" s="35">
        <v>2020</v>
      </c>
    </row>
    <row r="372" spans="1:80" ht="61.5" x14ac:dyDescent="0.85">
      <c r="B372" s="24" t="s">
        <v>872</v>
      </c>
      <c r="C372" s="24"/>
      <c r="D372" s="31">
        <f>SUM(D373:D375)</f>
        <v>12137858.549999999</v>
      </c>
      <c r="E372" s="31">
        <f t="shared" ref="E372:AE372" si="115">SUM(E373:E375)</f>
        <v>0</v>
      </c>
      <c r="F372" s="31">
        <f t="shared" si="115"/>
        <v>0</v>
      </c>
      <c r="G372" s="31">
        <f t="shared" si="115"/>
        <v>2226721.23</v>
      </c>
      <c r="H372" s="31">
        <f t="shared" si="115"/>
        <v>812734.29</v>
      </c>
      <c r="I372" s="31">
        <f t="shared" si="115"/>
        <v>0</v>
      </c>
      <c r="J372" s="31">
        <f t="shared" si="115"/>
        <v>0</v>
      </c>
      <c r="K372" s="33">
        <f t="shared" si="115"/>
        <v>0</v>
      </c>
      <c r="L372" s="31">
        <f t="shared" si="115"/>
        <v>0</v>
      </c>
      <c r="M372" s="31">
        <f t="shared" si="115"/>
        <v>2003.8</v>
      </c>
      <c r="N372" s="31">
        <f t="shared" si="115"/>
        <v>8799146.9100000001</v>
      </c>
      <c r="O372" s="31">
        <f t="shared" si="115"/>
        <v>0</v>
      </c>
      <c r="P372" s="31">
        <f t="shared" si="115"/>
        <v>0</v>
      </c>
      <c r="Q372" s="31">
        <f t="shared" si="115"/>
        <v>0</v>
      </c>
      <c r="R372" s="31">
        <f t="shared" si="115"/>
        <v>0</v>
      </c>
      <c r="S372" s="31">
        <f t="shared" si="115"/>
        <v>0</v>
      </c>
      <c r="T372" s="31">
        <f t="shared" si="115"/>
        <v>0</v>
      </c>
      <c r="U372" s="31">
        <f t="shared" si="115"/>
        <v>0</v>
      </c>
      <c r="V372" s="31">
        <f t="shared" si="115"/>
        <v>0</v>
      </c>
      <c r="W372" s="31">
        <f t="shared" si="115"/>
        <v>0</v>
      </c>
      <c r="X372" s="31">
        <f t="shared" si="115"/>
        <v>0</v>
      </c>
      <c r="Y372" s="31">
        <f t="shared" si="115"/>
        <v>0</v>
      </c>
      <c r="Z372" s="31">
        <f t="shared" si="115"/>
        <v>0</v>
      </c>
      <c r="AA372" s="31">
        <f t="shared" si="115"/>
        <v>0</v>
      </c>
      <c r="AB372" s="31">
        <f t="shared" si="115"/>
        <v>0</v>
      </c>
      <c r="AC372" s="31">
        <f t="shared" si="115"/>
        <v>169256.12</v>
      </c>
      <c r="AD372" s="31">
        <f t="shared" si="115"/>
        <v>130000</v>
      </c>
      <c r="AE372" s="31">
        <f t="shared" si="115"/>
        <v>0</v>
      </c>
      <c r="AF372" s="72" t="s">
        <v>794</v>
      </c>
      <c r="AG372" s="72" t="s">
        <v>794</v>
      </c>
      <c r="AH372" s="91" t="s">
        <v>794</v>
      </c>
      <c r="AT372" s="20" t="e">
        <f>VLOOKUP(C372,AW:AX,2,FALSE)</f>
        <v>#N/A</v>
      </c>
    </row>
    <row r="373" spans="1:80" ht="61.5" x14ac:dyDescent="0.85">
      <c r="A373" s="20">
        <v>1</v>
      </c>
      <c r="B373" s="66">
        <f>SUBTOTAL(103,$A$22:A373)</f>
        <v>332</v>
      </c>
      <c r="C373" s="24" t="s">
        <v>740</v>
      </c>
      <c r="D373" s="31">
        <f t="shared" ref="D373:D375" si="116">E373+F373+G373+H373+I373+J373+L373+N373+P373+R373+T373+U373+V373+W373+X373+Y373+Z373+AA373+AB373+AC373+AD373+AE373</f>
        <v>5427689.7599999998</v>
      </c>
      <c r="E373" s="31">
        <v>0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3">
        <v>0</v>
      </c>
      <c r="L373" s="31">
        <v>0</v>
      </c>
      <c r="M373" s="31">
        <v>1241</v>
      </c>
      <c r="N373" s="31">
        <f>5214210.93+5187.85</f>
        <v>5219398.7799999993</v>
      </c>
      <c r="O373" s="31">
        <v>0</v>
      </c>
      <c r="P373" s="31">
        <v>0</v>
      </c>
      <c r="Q373" s="31">
        <v>0</v>
      </c>
      <c r="R373" s="31">
        <v>0</v>
      </c>
      <c r="S373" s="31">
        <v>0</v>
      </c>
      <c r="T373" s="31">
        <v>0</v>
      </c>
      <c r="U373" s="31">
        <v>0</v>
      </c>
      <c r="V373" s="31">
        <v>0</v>
      </c>
      <c r="W373" s="31">
        <v>0</v>
      </c>
      <c r="X373" s="31">
        <v>0</v>
      </c>
      <c r="Y373" s="31">
        <v>0</v>
      </c>
      <c r="Z373" s="31">
        <v>0</v>
      </c>
      <c r="AA373" s="31">
        <v>0</v>
      </c>
      <c r="AB373" s="31">
        <v>0</v>
      </c>
      <c r="AC373" s="31">
        <f>ROUND(N373*1.5%,2)</f>
        <v>78290.98</v>
      </c>
      <c r="AD373" s="31">
        <v>130000</v>
      </c>
      <c r="AE373" s="31">
        <v>0</v>
      </c>
      <c r="AF373" s="34">
        <v>2020</v>
      </c>
      <c r="AG373" s="34">
        <v>2020</v>
      </c>
      <c r="AH373" s="35">
        <v>2020</v>
      </c>
      <c r="AT373" s="20" t="e">
        <f>VLOOKUP(C373,AW:AX,2,FALSE)</f>
        <v>#N/A</v>
      </c>
    </row>
    <row r="374" spans="1:80" ht="61.5" x14ac:dyDescent="0.85">
      <c r="A374" s="20">
        <v>1</v>
      </c>
      <c r="B374" s="66">
        <f>SUBTOTAL(103,$A$22:A374)</f>
        <v>333</v>
      </c>
      <c r="C374" s="24" t="s">
        <v>1292</v>
      </c>
      <c r="D374" s="31">
        <f t="shared" si="116"/>
        <v>3085047.35</v>
      </c>
      <c r="E374" s="31">
        <v>0</v>
      </c>
      <c r="F374" s="31">
        <v>0</v>
      </c>
      <c r="G374" s="31">
        <f>2021890.91+204830.32</f>
        <v>2226721.23</v>
      </c>
      <c r="H374" s="31">
        <f>545432.23+267302.06</f>
        <v>812734.29</v>
      </c>
      <c r="I374" s="31">
        <v>0</v>
      </c>
      <c r="J374" s="31">
        <v>0</v>
      </c>
      <c r="K374" s="33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0</v>
      </c>
      <c r="AB374" s="31">
        <v>0</v>
      </c>
      <c r="AC374" s="31">
        <f>ROUND((E374+F374+G374+H374+I374+J374)*1.5%,2)</f>
        <v>45591.83</v>
      </c>
      <c r="AD374" s="31">
        <v>0</v>
      </c>
      <c r="AE374" s="31">
        <v>0</v>
      </c>
      <c r="AF374" s="34" t="s">
        <v>274</v>
      </c>
      <c r="AG374" s="34">
        <v>2020</v>
      </c>
      <c r="AH374" s="35">
        <v>2020</v>
      </c>
    </row>
    <row r="375" spans="1:80" ht="61.5" x14ac:dyDescent="0.85">
      <c r="A375" s="20">
        <v>1</v>
      </c>
      <c r="B375" s="66">
        <f>SUBTOTAL(103,$A$22:A375)</f>
        <v>334</v>
      </c>
      <c r="C375" s="24" t="s">
        <v>1652</v>
      </c>
      <c r="D375" s="31">
        <f t="shared" si="116"/>
        <v>3625121.44</v>
      </c>
      <c r="E375" s="31">
        <v>0</v>
      </c>
      <c r="F375" s="31">
        <v>0</v>
      </c>
      <c r="G375" s="31">
        <v>0</v>
      </c>
      <c r="H375" s="31">
        <v>0</v>
      </c>
      <c r="I375" s="31">
        <v>0</v>
      </c>
      <c r="J375" s="31">
        <v>0</v>
      </c>
      <c r="K375" s="33">
        <v>0</v>
      </c>
      <c r="L375" s="31">
        <v>0</v>
      </c>
      <c r="M375" s="31">
        <v>762.8</v>
      </c>
      <c r="N375" s="31">
        <v>3579748.13</v>
      </c>
      <c r="O375" s="31">
        <v>0</v>
      </c>
      <c r="P375" s="31">
        <v>0</v>
      </c>
      <c r="Q375" s="31">
        <v>0</v>
      </c>
      <c r="R375" s="31">
        <v>0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0</v>
      </c>
      <c r="AA375" s="31">
        <v>0</v>
      </c>
      <c r="AB375" s="31">
        <v>0</v>
      </c>
      <c r="AC375" s="31">
        <v>45373.31</v>
      </c>
      <c r="AD375" s="31">
        <v>0</v>
      </c>
      <c r="AE375" s="31">
        <v>0</v>
      </c>
      <c r="AF375" s="34" t="s">
        <v>274</v>
      </c>
      <c r="AG375" s="34">
        <v>2020</v>
      </c>
      <c r="AH375" s="35">
        <v>2020</v>
      </c>
    </row>
    <row r="376" spans="1:80" ht="61.5" x14ac:dyDescent="0.85">
      <c r="B376" s="24" t="s">
        <v>873</v>
      </c>
      <c r="C376" s="24"/>
      <c r="D376" s="31">
        <f t="shared" ref="D376:AE376" si="117">D377</f>
        <v>5698132.5200000005</v>
      </c>
      <c r="E376" s="31">
        <f t="shared" si="117"/>
        <v>0</v>
      </c>
      <c r="F376" s="31">
        <f t="shared" si="117"/>
        <v>0</v>
      </c>
      <c r="G376" s="31">
        <f t="shared" si="117"/>
        <v>0</v>
      </c>
      <c r="H376" s="31">
        <f t="shared" si="117"/>
        <v>0</v>
      </c>
      <c r="I376" s="31">
        <f t="shared" si="117"/>
        <v>0</v>
      </c>
      <c r="J376" s="31">
        <f t="shared" si="117"/>
        <v>0</v>
      </c>
      <c r="K376" s="33">
        <f t="shared" si="117"/>
        <v>0</v>
      </c>
      <c r="L376" s="31">
        <f t="shared" si="117"/>
        <v>0</v>
      </c>
      <c r="M376" s="31">
        <f t="shared" si="117"/>
        <v>475</v>
      </c>
      <c r="N376" s="31">
        <f t="shared" si="117"/>
        <v>2323080.91</v>
      </c>
      <c r="O376" s="31">
        <f t="shared" si="117"/>
        <v>0</v>
      </c>
      <c r="P376" s="31">
        <f t="shared" si="117"/>
        <v>0</v>
      </c>
      <c r="Q376" s="31">
        <f t="shared" si="117"/>
        <v>605</v>
      </c>
      <c r="R376" s="31">
        <f t="shared" si="117"/>
        <v>3034685.12</v>
      </c>
      <c r="S376" s="31">
        <f t="shared" si="117"/>
        <v>0</v>
      </c>
      <c r="T376" s="31">
        <f t="shared" si="117"/>
        <v>0</v>
      </c>
      <c r="U376" s="31">
        <f t="shared" si="117"/>
        <v>0</v>
      </c>
      <c r="V376" s="31">
        <f t="shared" si="117"/>
        <v>0</v>
      </c>
      <c r="W376" s="31">
        <f t="shared" si="117"/>
        <v>0</v>
      </c>
      <c r="X376" s="31">
        <f t="shared" si="117"/>
        <v>0</v>
      </c>
      <c r="Y376" s="31">
        <f t="shared" si="117"/>
        <v>0</v>
      </c>
      <c r="Z376" s="31">
        <f t="shared" si="117"/>
        <v>0</v>
      </c>
      <c r="AA376" s="31">
        <f t="shared" si="117"/>
        <v>0</v>
      </c>
      <c r="AB376" s="31">
        <f t="shared" si="117"/>
        <v>0</v>
      </c>
      <c r="AC376" s="31">
        <f t="shared" si="117"/>
        <v>80366.490000000005</v>
      </c>
      <c r="AD376" s="31">
        <f t="shared" si="117"/>
        <v>260000</v>
      </c>
      <c r="AE376" s="31">
        <f t="shared" si="117"/>
        <v>0</v>
      </c>
      <c r="AF376" s="72" t="s">
        <v>794</v>
      </c>
      <c r="AG376" s="72" t="s">
        <v>794</v>
      </c>
      <c r="AH376" s="91" t="s">
        <v>794</v>
      </c>
      <c r="AT376" s="20" t="e">
        <f t="shared" ref="AT376:AT385" si="118">VLOOKUP(C376,AW:AX,2,FALSE)</f>
        <v>#N/A</v>
      </c>
    </row>
    <row r="377" spans="1:80" ht="61.5" x14ac:dyDescent="0.85">
      <c r="A377" s="20">
        <v>1</v>
      </c>
      <c r="B377" s="66">
        <f>SUBTOTAL(103,$A$22:A377)</f>
        <v>335</v>
      </c>
      <c r="C377" s="24" t="s">
        <v>838</v>
      </c>
      <c r="D377" s="31">
        <f t="shared" ref="D377" si="119">E377+F377+G377+H377+I377+J377+L377+N377+P377+R377+T377+U377+V377+W377+X377+Y377+Z377+AA377+AB377+AC377+AD377+AE377</f>
        <v>5698132.5200000005</v>
      </c>
      <c r="E377" s="31">
        <v>0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3">
        <v>0</v>
      </c>
      <c r="L377" s="31">
        <v>0</v>
      </c>
      <c r="M377" s="31">
        <v>475</v>
      </c>
      <c r="N377" s="31">
        <v>2323080.91</v>
      </c>
      <c r="O377" s="31">
        <v>0</v>
      </c>
      <c r="P377" s="31">
        <v>0</v>
      </c>
      <c r="Q377" s="31">
        <v>605</v>
      </c>
      <c r="R377" s="31">
        <v>3034685.12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v>0</v>
      </c>
      <c r="Y377" s="31">
        <v>0</v>
      </c>
      <c r="Z377" s="31">
        <v>0</v>
      </c>
      <c r="AA377" s="31">
        <v>0</v>
      </c>
      <c r="AB377" s="31">
        <v>0</v>
      </c>
      <c r="AC377" s="31">
        <f>ROUND((N377+R377)*1.5%,2)</f>
        <v>80366.490000000005</v>
      </c>
      <c r="AD377" s="31">
        <v>260000</v>
      </c>
      <c r="AE377" s="31">
        <v>0</v>
      </c>
      <c r="AF377" s="34">
        <v>2020</v>
      </c>
      <c r="AG377" s="34">
        <v>2020</v>
      </c>
      <c r="AH377" s="35">
        <v>2020</v>
      </c>
      <c r="AT377" s="20" t="e">
        <f t="shared" si="118"/>
        <v>#N/A</v>
      </c>
    </row>
    <row r="378" spans="1:80" ht="61.5" x14ac:dyDescent="0.85">
      <c r="B378" s="24" t="s">
        <v>874</v>
      </c>
      <c r="C378" s="117"/>
      <c r="D378" s="31">
        <f>SUM(D379:D393)</f>
        <v>56051993.530000009</v>
      </c>
      <c r="E378" s="31">
        <f t="shared" ref="E378:AE378" si="120">SUM(E379:E393)</f>
        <v>667046.89</v>
      </c>
      <c r="F378" s="31">
        <f t="shared" si="120"/>
        <v>0</v>
      </c>
      <c r="G378" s="31">
        <f t="shared" si="120"/>
        <v>2593149.4500000002</v>
      </c>
      <c r="H378" s="31">
        <f t="shared" si="120"/>
        <v>702794</v>
      </c>
      <c r="I378" s="31">
        <f t="shared" si="120"/>
        <v>0</v>
      </c>
      <c r="J378" s="31">
        <f t="shared" si="120"/>
        <v>0</v>
      </c>
      <c r="K378" s="33">
        <f t="shared" si="120"/>
        <v>0</v>
      </c>
      <c r="L378" s="31">
        <f t="shared" si="120"/>
        <v>0</v>
      </c>
      <c r="M378" s="31">
        <f t="shared" si="120"/>
        <v>10839.3</v>
      </c>
      <c r="N378" s="31">
        <f t="shared" si="120"/>
        <v>44606605.020000003</v>
      </c>
      <c r="O378" s="31">
        <f t="shared" si="120"/>
        <v>0</v>
      </c>
      <c r="P378" s="31">
        <f t="shared" si="120"/>
        <v>0</v>
      </c>
      <c r="Q378" s="31">
        <f t="shared" si="120"/>
        <v>3424.15</v>
      </c>
      <c r="R378" s="31">
        <f t="shared" si="120"/>
        <v>5944683.9800000004</v>
      </c>
      <c r="S378" s="31">
        <f t="shared" si="120"/>
        <v>0</v>
      </c>
      <c r="T378" s="31">
        <f t="shared" si="120"/>
        <v>0</v>
      </c>
      <c r="U378" s="31">
        <f t="shared" si="120"/>
        <v>0</v>
      </c>
      <c r="V378" s="31">
        <f t="shared" si="120"/>
        <v>0</v>
      </c>
      <c r="W378" s="31">
        <f t="shared" si="120"/>
        <v>0</v>
      </c>
      <c r="X378" s="31">
        <f t="shared" si="120"/>
        <v>0</v>
      </c>
      <c r="Y378" s="31">
        <f t="shared" si="120"/>
        <v>0</v>
      </c>
      <c r="Z378" s="31">
        <f t="shared" si="120"/>
        <v>0</v>
      </c>
      <c r="AA378" s="31">
        <f t="shared" si="120"/>
        <v>0</v>
      </c>
      <c r="AB378" s="31">
        <f t="shared" si="120"/>
        <v>0</v>
      </c>
      <c r="AC378" s="31">
        <f t="shared" si="120"/>
        <v>817714.19</v>
      </c>
      <c r="AD378" s="31">
        <f t="shared" si="120"/>
        <v>720000</v>
      </c>
      <c r="AE378" s="31">
        <f t="shared" si="120"/>
        <v>0</v>
      </c>
      <c r="AF378" s="72" t="s">
        <v>794</v>
      </c>
      <c r="AG378" s="72" t="s">
        <v>794</v>
      </c>
      <c r="AH378" s="91" t="s">
        <v>794</v>
      </c>
      <c r="AT378" s="20" t="e">
        <f t="shared" si="118"/>
        <v>#N/A</v>
      </c>
      <c r="AV378" s="20">
        <v>20654065.649999999</v>
      </c>
      <c r="AW378" s="71">
        <f>AV378-D378</f>
        <v>-35397927.88000001</v>
      </c>
      <c r="BZ378" s="31">
        <v>55371397.719999999</v>
      </c>
      <c r="CA378" s="31"/>
      <c r="CB378" s="31">
        <f>BZ378-D378</f>
        <v>-680595.81000000983</v>
      </c>
    </row>
    <row r="379" spans="1:80" ht="61.5" x14ac:dyDescent="0.85">
      <c r="A379" s="20">
        <v>1</v>
      </c>
      <c r="B379" s="66">
        <f>SUBTOTAL(103,$A$22:A379)</f>
        <v>336</v>
      </c>
      <c r="C379" s="24" t="s">
        <v>115</v>
      </c>
      <c r="D379" s="31">
        <f t="shared" ref="D379:D393" si="121">E379+F379+G379+H379+I379+J379+L379+N379+P379+R379+T379+U379+V379+W379+X379+Y379+Z379+AA379+AB379+AC379+AD379+AE379</f>
        <v>3325000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3">
        <v>0</v>
      </c>
      <c r="L379" s="31">
        <v>0</v>
      </c>
      <c r="M379" s="31">
        <v>665</v>
      </c>
      <c r="N379" s="31">
        <v>3128078.82</v>
      </c>
      <c r="O379" s="31">
        <v>0</v>
      </c>
      <c r="P379" s="31">
        <v>0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v>0</v>
      </c>
      <c r="Y379" s="31">
        <v>0</v>
      </c>
      <c r="Z379" s="31">
        <v>0</v>
      </c>
      <c r="AA379" s="31">
        <v>0</v>
      </c>
      <c r="AB379" s="31">
        <v>0</v>
      </c>
      <c r="AC379" s="31">
        <f t="shared" ref="AC379:AC383" si="122">ROUND(N379*1.5%,2)</f>
        <v>46921.18</v>
      </c>
      <c r="AD379" s="31">
        <v>150000</v>
      </c>
      <c r="AE379" s="31">
        <v>0</v>
      </c>
      <c r="AF379" s="34">
        <v>2020</v>
      </c>
      <c r="AG379" s="34">
        <v>2020</v>
      </c>
      <c r="AH379" s="35">
        <v>2020</v>
      </c>
      <c r="AT379" s="20" t="e">
        <f t="shared" si="118"/>
        <v>#N/A</v>
      </c>
    </row>
    <row r="380" spans="1:80" ht="61.5" x14ac:dyDescent="0.85">
      <c r="A380" s="20">
        <v>1</v>
      </c>
      <c r="B380" s="66">
        <f>SUBTOTAL(103,$A$22:A380)</f>
        <v>337</v>
      </c>
      <c r="C380" s="24" t="s">
        <v>118</v>
      </c>
      <c r="D380" s="31">
        <f t="shared" si="121"/>
        <v>3106500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3">
        <v>0</v>
      </c>
      <c r="L380" s="31">
        <v>0</v>
      </c>
      <c r="M380" s="31">
        <v>621.29999999999995</v>
      </c>
      <c r="N380" s="31">
        <v>2912807.88</v>
      </c>
      <c r="O380" s="31">
        <v>0</v>
      </c>
      <c r="P380" s="31">
        <v>0</v>
      </c>
      <c r="Q380" s="31">
        <v>0</v>
      </c>
      <c r="R380" s="31">
        <v>0</v>
      </c>
      <c r="S380" s="31">
        <v>0</v>
      </c>
      <c r="T380" s="31">
        <v>0</v>
      </c>
      <c r="U380" s="31">
        <v>0</v>
      </c>
      <c r="V380" s="31">
        <v>0</v>
      </c>
      <c r="W380" s="31">
        <v>0</v>
      </c>
      <c r="X380" s="31">
        <v>0</v>
      </c>
      <c r="Y380" s="31">
        <v>0</v>
      </c>
      <c r="Z380" s="31">
        <v>0</v>
      </c>
      <c r="AA380" s="31">
        <v>0</v>
      </c>
      <c r="AB380" s="31">
        <v>0</v>
      </c>
      <c r="AC380" s="31">
        <f t="shared" si="122"/>
        <v>43692.12</v>
      </c>
      <c r="AD380" s="31">
        <v>150000</v>
      </c>
      <c r="AE380" s="31">
        <v>0</v>
      </c>
      <c r="AF380" s="34">
        <v>2020</v>
      </c>
      <c r="AG380" s="34">
        <v>2020</v>
      </c>
      <c r="AH380" s="35">
        <v>2020</v>
      </c>
      <c r="AT380" s="20" t="e">
        <f t="shared" si="118"/>
        <v>#N/A</v>
      </c>
    </row>
    <row r="381" spans="1:80" ht="61.5" x14ac:dyDescent="0.85">
      <c r="A381" s="20">
        <v>1</v>
      </c>
      <c r="B381" s="66">
        <f>SUBTOTAL(103,$A$22:A381)</f>
        <v>338</v>
      </c>
      <c r="C381" s="24" t="s">
        <v>114</v>
      </c>
      <c r="D381" s="31">
        <f t="shared" si="121"/>
        <v>1617500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3">
        <v>0</v>
      </c>
      <c r="L381" s="31">
        <v>0</v>
      </c>
      <c r="M381" s="31">
        <v>323.5</v>
      </c>
      <c r="N381" s="31">
        <v>1475369.46</v>
      </c>
      <c r="O381" s="31">
        <v>0</v>
      </c>
      <c r="P381" s="31">
        <v>0</v>
      </c>
      <c r="Q381" s="31">
        <v>0</v>
      </c>
      <c r="R381" s="31">
        <v>0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v>0</v>
      </c>
      <c r="Y381" s="31">
        <v>0</v>
      </c>
      <c r="Z381" s="31">
        <v>0</v>
      </c>
      <c r="AA381" s="31">
        <v>0</v>
      </c>
      <c r="AB381" s="31">
        <v>0</v>
      </c>
      <c r="AC381" s="31">
        <f t="shared" si="122"/>
        <v>22130.54</v>
      </c>
      <c r="AD381" s="31">
        <v>120000</v>
      </c>
      <c r="AE381" s="31">
        <v>0</v>
      </c>
      <c r="AF381" s="34">
        <v>2020</v>
      </c>
      <c r="AG381" s="34">
        <v>2020</v>
      </c>
      <c r="AH381" s="35">
        <v>2020</v>
      </c>
      <c r="AT381" s="20" t="e">
        <f t="shared" si="118"/>
        <v>#N/A</v>
      </c>
    </row>
    <row r="382" spans="1:80" ht="61.5" x14ac:dyDescent="0.85">
      <c r="A382" s="20">
        <v>1</v>
      </c>
      <c r="B382" s="66">
        <f>SUBTOTAL(103,$A$22:A382)</f>
        <v>339</v>
      </c>
      <c r="C382" s="24" t="s">
        <v>116</v>
      </c>
      <c r="D382" s="31">
        <f t="shared" si="121"/>
        <v>5416920.4299999997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3">
        <v>0</v>
      </c>
      <c r="L382" s="31">
        <v>0</v>
      </c>
      <c r="M382" s="31">
        <v>1238.2</v>
      </c>
      <c r="N382" s="31">
        <v>5336867.42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0</v>
      </c>
      <c r="AA382" s="31">
        <v>0</v>
      </c>
      <c r="AB382" s="31">
        <v>0</v>
      </c>
      <c r="AC382" s="31">
        <f t="shared" si="122"/>
        <v>80053.009999999995</v>
      </c>
      <c r="AD382" s="31">
        <v>0</v>
      </c>
      <c r="AE382" s="31">
        <v>0</v>
      </c>
      <c r="AF382" s="34" t="s">
        <v>274</v>
      </c>
      <c r="AG382" s="34">
        <v>2020</v>
      </c>
      <c r="AH382" s="35">
        <v>2020</v>
      </c>
      <c r="AT382" s="20" t="e">
        <f t="shared" si="118"/>
        <v>#N/A</v>
      </c>
    </row>
    <row r="383" spans="1:80" ht="61.5" x14ac:dyDescent="0.85">
      <c r="A383" s="20">
        <v>1</v>
      </c>
      <c r="B383" s="66">
        <f>SUBTOTAL(103,$A$22:A383)</f>
        <v>340</v>
      </c>
      <c r="C383" s="24" t="s">
        <v>117</v>
      </c>
      <c r="D383" s="31">
        <f t="shared" si="121"/>
        <v>5823270.3499999996</v>
      </c>
      <c r="E383" s="31">
        <v>0</v>
      </c>
      <c r="F383" s="31">
        <v>0</v>
      </c>
      <c r="G383" s="31">
        <v>0</v>
      </c>
      <c r="H383" s="31">
        <v>0</v>
      </c>
      <c r="I383" s="31">
        <v>0</v>
      </c>
      <c r="J383" s="31">
        <v>0</v>
      </c>
      <c r="K383" s="33">
        <v>0</v>
      </c>
      <c r="L383" s="31">
        <v>0</v>
      </c>
      <c r="M383" s="31">
        <v>1151</v>
      </c>
      <c r="N383" s="31">
        <f>5400000+337212.17</f>
        <v>5737212.1699999999</v>
      </c>
      <c r="O383" s="31">
        <v>0</v>
      </c>
      <c r="P383" s="31">
        <v>0</v>
      </c>
      <c r="Q383" s="31">
        <v>0</v>
      </c>
      <c r="R383" s="31">
        <v>0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1">
        <v>0</v>
      </c>
      <c r="Y383" s="31">
        <v>0</v>
      </c>
      <c r="Z383" s="31">
        <v>0</v>
      </c>
      <c r="AA383" s="31">
        <v>0</v>
      </c>
      <c r="AB383" s="31">
        <v>0</v>
      </c>
      <c r="AC383" s="31">
        <f t="shared" si="122"/>
        <v>86058.18</v>
      </c>
      <c r="AD383" s="31">
        <v>0</v>
      </c>
      <c r="AE383" s="31">
        <v>0</v>
      </c>
      <c r="AF383" s="34" t="s">
        <v>274</v>
      </c>
      <c r="AG383" s="34">
        <v>2020</v>
      </c>
      <c r="AH383" s="35">
        <v>2020</v>
      </c>
      <c r="AT383" s="20" t="e">
        <f t="shared" si="118"/>
        <v>#N/A</v>
      </c>
    </row>
    <row r="384" spans="1:80" ht="61.5" x14ac:dyDescent="0.85">
      <c r="A384" s="20">
        <v>1</v>
      </c>
      <c r="B384" s="66">
        <f>SUBTOTAL(103,$A$22:A384)</f>
        <v>341</v>
      </c>
      <c r="C384" s="24" t="s">
        <v>119</v>
      </c>
      <c r="D384" s="31">
        <f t="shared" si="121"/>
        <v>3199500</v>
      </c>
      <c r="E384" s="31">
        <v>0</v>
      </c>
      <c r="F384" s="31">
        <v>0</v>
      </c>
      <c r="G384" s="31">
        <v>0</v>
      </c>
      <c r="H384" s="31">
        <v>0</v>
      </c>
      <c r="I384" s="31">
        <v>0</v>
      </c>
      <c r="J384" s="31">
        <v>0</v>
      </c>
      <c r="K384" s="33">
        <v>0</v>
      </c>
      <c r="L384" s="31">
        <v>0</v>
      </c>
      <c r="M384" s="31">
        <v>639.9</v>
      </c>
      <c r="N384" s="31">
        <v>3004433.5</v>
      </c>
      <c r="O384" s="31">
        <v>0</v>
      </c>
      <c r="P384" s="31">
        <v>0</v>
      </c>
      <c r="Q384" s="31">
        <v>0</v>
      </c>
      <c r="R384" s="31">
        <v>0</v>
      </c>
      <c r="S384" s="31">
        <v>0</v>
      </c>
      <c r="T384" s="31">
        <v>0</v>
      </c>
      <c r="U384" s="31">
        <v>0</v>
      </c>
      <c r="V384" s="31">
        <v>0</v>
      </c>
      <c r="W384" s="31">
        <v>0</v>
      </c>
      <c r="X384" s="31">
        <v>0</v>
      </c>
      <c r="Y384" s="31">
        <v>0</v>
      </c>
      <c r="Z384" s="31">
        <v>0</v>
      </c>
      <c r="AA384" s="31">
        <v>0</v>
      </c>
      <c r="AB384" s="31">
        <v>0</v>
      </c>
      <c r="AC384" s="31">
        <f>ROUND(N384*1.5%,2)</f>
        <v>45066.5</v>
      </c>
      <c r="AD384" s="31">
        <v>150000</v>
      </c>
      <c r="AE384" s="31">
        <v>0</v>
      </c>
      <c r="AF384" s="34">
        <v>2020</v>
      </c>
      <c r="AG384" s="34">
        <v>2020</v>
      </c>
      <c r="AH384" s="35">
        <v>2020</v>
      </c>
      <c r="AT384" s="20" t="e">
        <f t="shared" si="118"/>
        <v>#N/A</v>
      </c>
    </row>
    <row r="385" spans="1:80" ht="61.5" x14ac:dyDescent="0.85">
      <c r="A385" s="20">
        <v>1</v>
      </c>
      <c r="B385" s="66">
        <f>SUBTOTAL(103,$A$22:A385)</f>
        <v>342</v>
      </c>
      <c r="C385" s="24" t="s">
        <v>120</v>
      </c>
      <c r="D385" s="31">
        <f t="shared" si="121"/>
        <v>2417780.6800000002</v>
      </c>
      <c r="E385" s="31">
        <v>470577.49</v>
      </c>
      <c r="F385" s="31">
        <v>0</v>
      </c>
      <c r="G385" s="31">
        <v>1453543.23</v>
      </c>
      <c r="H385" s="31">
        <v>457929.21</v>
      </c>
      <c r="I385" s="31">
        <v>0</v>
      </c>
      <c r="J385" s="31">
        <v>0</v>
      </c>
      <c r="K385" s="33">
        <v>0</v>
      </c>
      <c r="L385" s="31">
        <v>0</v>
      </c>
      <c r="M385" s="31">
        <v>0</v>
      </c>
      <c r="N385" s="31">
        <v>0</v>
      </c>
      <c r="O385" s="31">
        <v>0</v>
      </c>
      <c r="P385" s="31">
        <v>0</v>
      </c>
      <c r="Q385" s="31">
        <v>0</v>
      </c>
      <c r="R385" s="31">
        <v>0</v>
      </c>
      <c r="S385" s="31">
        <v>0</v>
      </c>
      <c r="T385" s="31">
        <v>0</v>
      </c>
      <c r="U385" s="31">
        <v>0</v>
      </c>
      <c r="V385" s="31">
        <v>0</v>
      </c>
      <c r="W385" s="31">
        <v>0</v>
      </c>
      <c r="X385" s="31">
        <v>0</v>
      </c>
      <c r="Y385" s="31">
        <v>0</v>
      </c>
      <c r="Z385" s="31">
        <v>0</v>
      </c>
      <c r="AA385" s="31">
        <v>0</v>
      </c>
      <c r="AB385" s="31">
        <v>0</v>
      </c>
      <c r="AC385" s="31">
        <f>ROUND((E385+F385+G385+H385+I385+J385)*1.5%,2)</f>
        <v>35730.75</v>
      </c>
      <c r="AD385" s="31">
        <v>0</v>
      </c>
      <c r="AE385" s="31">
        <v>0</v>
      </c>
      <c r="AF385" s="34" t="s">
        <v>274</v>
      </c>
      <c r="AG385" s="34">
        <v>2020</v>
      </c>
      <c r="AH385" s="35">
        <v>2020</v>
      </c>
      <c r="AT385" s="20" t="e">
        <f t="shared" si="118"/>
        <v>#N/A</v>
      </c>
    </row>
    <row r="386" spans="1:80" ht="61.5" x14ac:dyDescent="0.85">
      <c r="A386" s="20">
        <v>1</v>
      </c>
      <c r="B386" s="66">
        <f>SUBTOTAL(103,$A$22:A386)</f>
        <v>343</v>
      </c>
      <c r="C386" s="24" t="s">
        <v>1293</v>
      </c>
      <c r="D386" s="31">
        <f t="shared" si="121"/>
        <v>6033854.2400000002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3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3424.15</v>
      </c>
      <c r="R386" s="31">
        <v>5944683.9800000004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f t="shared" ref="AC386" si="123">ROUND(R386*1.5%,2)</f>
        <v>89170.26</v>
      </c>
      <c r="AD386" s="31">
        <v>0</v>
      </c>
      <c r="AE386" s="31">
        <v>0</v>
      </c>
      <c r="AF386" s="34" t="s">
        <v>274</v>
      </c>
      <c r="AG386" s="34">
        <v>2020</v>
      </c>
      <c r="AH386" s="35">
        <v>2020</v>
      </c>
    </row>
    <row r="387" spans="1:80" ht="61.5" x14ac:dyDescent="0.85">
      <c r="A387" s="20">
        <v>1</v>
      </c>
      <c r="B387" s="66">
        <f>SUBTOTAL(103,$A$22:A387)</f>
        <v>344</v>
      </c>
      <c r="C387" s="24" t="s">
        <v>1294</v>
      </c>
      <c r="D387" s="31">
        <f t="shared" si="121"/>
        <v>4209702.2299999995</v>
      </c>
      <c r="E387" s="31">
        <v>0</v>
      </c>
      <c r="F387" s="31">
        <v>0</v>
      </c>
      <c r="G387" s="31">
        <v>0</v>
      </c>
      <c r="H387" s="31">
        <v>0</v>
      </c>
      <c r="I387" s="31">
        <v>0</v>
      </c>
      <c r="J387" s="31">
        <v>0</v>
      </c>
      <c r="K387" s="33">
        <v>0</v>
      </c>
      <c r="L387" s="31">
        <v>0</v>
      </c>
      <c r="M387" s="31">
        <v>1150.3</v>
      </c>
      <c r="N387" s="31">
        <v>4147489.88</v>
      </c>
      <c r="O387" s="31">
        <v>0</v>
      </c>
      <c r="P387" s="31">
        <v>0</v>
      </c>
      <c r="Q387" s="31">
        <v>0</v>
      </c>
      <c r="R387" s="31">
        <v>0</v>
      </c>
      <c r="S387" s="31">
        <v>0</v>
      </c>
      <c r="T387" s="31">
        <v>0</v>
      </c>
      <c r="U387" s="31">
        <v>0</v>
      </c>
      <c r="V387" s="31">
        <v>0</v>
      </c>
      <c r="W387" s="31">
        <v>0</v>
      </c>
      <c r="X387" s="31">
        <v>0</v>
      </c>
      <c r="Y387" s="31">
        <v>0</v>
      </c>
      <c r="Z387" s="31">
        <v>0</v>
      </c>
      <c r="AA387" s="31">
        <v>0</v>
      </c>
      <c r="AB387" s="31">
        <v>0</v>
      </c>
      <c r="AC387" s="31">
        <f t="shared" ref="AC387:AC389" si="124">ROUND(N387*1.5%,2)</f>
        <v>62212.35</v>
      </c>
      <c r="AD387" s="31">
        <v>0</v>
      </c>
      <c r="AE387" s="31">
        <v>0</v>
      </c>
      <c r="AF387" s="34" t="s">
        <v>274</v>
      </c>
      <c r="AG387" s="34">
        <v>2020</v>
      </c>
      <c r="AH387" s="35">
        <v>2020</v>
      </c>
    </row>
    <row r="388" spans="1:80" ht="61.5" x14ac:dyDescent="0.85">
      <c r="A388" s="20">
        <v>1</v>
      </c>
      <c r="B388" s="66">
        <f>SUBTOTAL(103,$A$22:A388)</f>
        <v>345</v>
      </c>
      <c r="C388" s="24" t="s">
        <v>1295</v>
      </c>
      <c r="D388" s="31">
        <f t="shared" si="121"/>
        <v>2832917.6399999997</v>
      </c>
      <c r="E388" s="31">
        <v>0</v>
      </c>
      <c r="F388" s="31">
        <v>0</v>
      </c>
      <c r="G388" s="31">
        <v>0</v>
      </c>
      <c r="H388" s="31">
        <v>0</v>
      </c>
      <c r="I388" s="31">
        <v>0</v>
      </c>
      <c r="J388" s="31">
        <v>0</v>
      </c>
      <c r="K388" s="33">
        <v>0</v>
      </c>
      <c r="L388" s="31">
        <v>0</v>
      </c>
      <c r="M388" s="31">
        <v>1013</v>
      </c>
      <c r="N388" s="31">
        <v>2791051.86</v>
      </c>
      <c r="O388" s="31">
        <v>0</v>
      </c>
      <c r="P388" s="31">
        <v>0</v>
      </c>
      <c r="Q388" s="31">
        <v>0</v>
      </c>
      <c r="R388" s="31">
        <v>0</v>
      </c>
      <c r="S388" s="31">
        <v>0</v>
      </c>
      <c r="T388" s="31">
        <v>0</v>
      </c>
      <c r="U388" s="31">
        <v>0</v>
      </c>
      <c r="V388" s="31">
        <v>0</v>
      </c>
      <c r="W388" s="31">
        <v>0</v>
      </c>
      <c r="X388" s="31">
        <v>0</v>
      </c>
      <c r="Y388" s="31">
        <v>0</v>
      </c>
      <c r="Z388" s="31">
        <v>0</v>
      </c>
      <c r="AA388" s="31">
        <v>0</v>
      </c>
      <c r="AB388" s="31">
        <v>0</v>
      </c>
      <c r="AC388" s="31">
        <f t="shared" si="124"/>
        <v>41865.78</v>
      </c>
      <c r="AD388" s="31">
        <v>0</v>
      </c>
      <c r="AE388" s="31">
        <v>0</v>
      </c>
      <c r="AF388" s="34" t="s">
        <v>274</v>
      </c>
      <c r="AG388" s="34">
        <v>2020</v>
      </c>
      <c r="AH388" s="35">
        <v>2020</v>
      </c>
    </row>
    <row r="389" spans="1:80" ht="61.5" x14ac:dyDescent="0.85">
      <c r="A389" s="20">
        <v>1</v>
      </c>
      <c r="B389" s="66">
        <f>SUBTOTAL(103,$A$22:A389)</f>
        <v>346</v>
      </c>
      <c r="C389" s="24" t="s">
        <v>1296</v>
      </c>
      <c r="D389" s="31">
        <f t="shared" si="121"/>
        <v>2136613.5299999998</v>
      </c>
      <c r="E389" s="31">
        <v>0</v>
      </c>
      <c r="F389" s="31">
        <v>0</v>
      </c>
      <c r="G389" s="31">
        <v>0</v>
      </c>
      <c r="H389" s="31">
        <v>0</v>
      </c>
      <c r="I389" s="31">
        <v>0</v>
      </c>
      <c r="J389" s="31">
        <v>0</v>
      </c>
      <c r="K389" s="33">
        <v>0</v>
      </c>
      <c r="L389" s="31">
        <v>0</v>
      </c>
      <c r="M389" s="31">
        <v>461.1</v>
      </c>
      <c r="N389" s="31">
        <v>2105037.96</v>
      </c>
      <c r="O389" s="31">
        <v>0</v>
      </c>
      <c r="P389" s="31">
        <v>0</v>
      </c>
      <c r="Q389" s="31">
        <v>0</v>
      </c>
      <c r="R389" s="31">
        <v>0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0</v>
      </c>
      <c r="AA389" s="31">
        <v>0</v>
      </c>
      <c r="AB389" s="31">
        <v>0</v>
      </c>
      <c r="AC389" s="31">
        <f t="shared" si="124"/>
        <v>31575.57</v>
      </c>
      <c r="AD389" s="31">
        <v>0</v>
      </c>
      <c r="AE389" s="31">
        <v>0</v>
      </c>
      <c r="AF389" s="34" t="s">
        <v>274</v>
      </c>
      <c r="AG389" s="34">
        <v>2020</v>
      </c>
      <c r="AH389" s="35">
        <v>2020</v>
      </c>
    </row>
    <row r="390" spans="1:80" ht="61.5" x14ac:dyDescent="0.85">
      <c r="A390" s="20">
        <v>1</v>
      </c>
      <c r="B390" s="66">
        <f>SUBTOTAL(103,$A$22:A390)</f>
        <v>347</v>
      </c>
      <c r="C390" s="24" t="s">
        <v>1297</v>
      </c>
      <c r="D390" s="31">
        <f t="shared" si="121"/>
        <v>1604654.52</v>
      </c>
      <c r="E390" s="31">
        <v>196469.4</v>
      </c>
      <c r="F390" s="31">
        <v>0</v>
      </c>
      <c r="G390" s="31">
        <v>1139606.22</v>
      </c>
      <c r="H390" s="31">
        <v>244864.79</v>
      </c>
      <c r="I390" s="31">
        <v>0</v>
      </c>
      <c r="J390" s="31">
        <v>0</v>
      </c>
      <c r="K390" s="33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v>0</v>
      </c>
      <c r="V390" s="31">
        <v>0</v>
      </c>
      <c r="W390" s="31">
        <v>0</v>
      </c>
      <c r="X390" s="31">
        <v>0</v>
      </c>
      <c r="Y390" s="31">
        <v>0</v>
      </c>
      <c r="Z390" s="31">
        <v>0</v>
      </c>
      <c r="AA390" s="31">
        <v>0</v>
      </c>
      <c r="AB390" s="31">
        <v>0</v>
      </c>
      <c r="AC390" s="31">
        <f>ROUND((E390+F390+G390+H390+I390+J390)*1.5%,2)</f>
        <v>23714.11</v>
      </c>
      <c r="AD390" s="31">
        <v>0</v>
      </c>
      <c r="AE390" s="31">
        <v>0</v>
      </c>
      <c r="AF390" s="34" t="s">
        <v>274</v>
      </c>
      <c r="AG390" s="34">
        <v>2020</v>
      </c>
      <c r="AH390" s="35">
        <v>2020</v>
      </c>
    </row>
    <row r="391" spans="1:80" ht="61.5" x14ac:dyDescent="0.85">
      <c r="A391" s="20">
        <v>1</v>
      </c>
      <c r="B391" s="66">
        <f>SUBTOTAL(103,$A$22:A391)</f>
        <v>348</v>
      </c>
      <c r="C391" s="24" t="s">
        <v>1298</v>
      </c>
      <c r="D391" s="31">
        <f t="shared" si="121"/>
        <v>5506257.7399999993</v>
      </c>
      <c r="E391" s="31">
        <v>0</v>
      </c>
      <c r="F391" s="31">
        <v>0</v>
      </c>
      <c r="G391" s="31">
        <v>0</v>
      </c>
      <c r="H391" s="31">
        <v>0</v>
      </c>
      <c r="I391" s="31">
        <v>0</v>
      </c>
      <c r="J391" s="31">
        <v>0</v>
      </c>
      <c r="K391" s="33">
        <v>0</v>
      </c>
      <c r="L391" s="31">
        <v>0</v>
      </c>
      <c r="M391" s="31">
        <v>1550</v>
      </c>
      <c r="N391" s="31">
        <v>5424884.4699999997</v>
      </c>
      <c r="O391" s="31">
        <v>0</v>
      </c>
      <c r="P391" s="31">
        <v>0</v>
      </c>
      <c r="Q391" s="31">
        <v>0</v>
      </c>
      <c r="R391" s="31">
        <v>0</v>
      </c>
      <c r="S391" s="31">
        <v>0</v>
      </c>
      <c r="T391" s="31">
        <v>0</v>
      </c>
      <c r="U391" s="31">
        <v>0</v>
      </c>
      <c r="V391" s="31">
        <v>0</v>
      </c>
      <c r="W391" s="31">
        <v>0</v>
      </c>
      <c r="X391" s="31">
        <v>0</v>
      </c>
      <c r="Y391" s="31">
        <v>0</v>
      </c>
      <c r="Z391" s="31">
        <v>0</v>
      </c>
      <c r="AA391" s="31">
        <v>0</v>
      </c>
      <c r="AB391" s="31">
        <v>0</v>
      </c>
      <c r="AC391" s="31">
        <f t="shared" ref="AC391:AC393" si="125">ROUND(N391*1.5%,2)</f>
        <v>81373.27</v>
      </c>
      <c r="AD391" s="31">
        <v>0</v>
      </c>
      <c r="AE391" s="31">
        <v>0</v>
      </c>
      <c r="AF391" s="34" t="s">
        <v>274</v>
      </c>
      <c r="AG391" s="34">
        <v>2020</v>
      </c>
      <c r="AH391" s="35">
        <v>2020</v>
      </c>
    </row>
    <row r="392" spans="1:80" ht="61.5" x14ac:dyDescent="0.85">
      <c r="A392" s="20">
        <v>1</v>
      </c>
      <c r="B392" s="66">
        <f>SUBTOTAL(103,$A$22:A392)</f>
        <v>349</v>
      </c>
      <c r="C392" s="24" t="s">
        <v>1656</v>
      </c>
      <c r="D392" s="31">
        <f t="shared" si="121"/>
        <v>4542966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3">
        <v>0</v>
      </c>
      <c r="L392" s="31">
        <v>0</v>
      </c>
      <c r="M392" s="31">
        <v>870</v>
      </c>
      <c r="N392" s="31">
        <v>4328045.32</v>
      </c>
      <c r="O392" s="31">
        <v>0</v>
      </c>
      <c r="P392" s="31">
        <v>0</v>
      </c>
      <c r="Q392" s="31">
        <v>0</v>
      </c>
      <c r="R392" s="31">
        <v>0</v>
      </c>
      <c r="S392" s="31">
        <v>0</v>
      </c>
      <c r="T392" s="31">
        <v>0</v>
      </c>
      <c r="U392" s="31">
        <v>0</v>
      </c>
      <c r="V392" s="31">
        <v>0</v>
      </c>
      <c r="W392" s="31">
        <v>0</v>
      </c>
      <c r="X392" s="31">
        <v>0</v>
      </c>
      <c r="Y392" s="31">
        <v>0</v>
      </c>
      <c r="Z392" s="31">
        <v>0</v>
      </c>
      <c r="AA392" s="31">
        <v>0</v>
      </c>
      <c r="AB392" s="31">
        <v>0</v>
      </c>
      <c r="AC392" s="31">
        <f t="shared" si="125"/>
        <v>64920.68</v>
      </c>
      <c r="AD392" s="31">
        <v>150000</v>
      </c>
      <c r="AE392" s="31">
        <v>0</v>
      </c>
      <c r="AF392" s="34">
        <v>2020</v>
      </c>
      <c r="AG392" s="34">
        <v>2020</v>
      </c>
      <c r="AH392" s="35">
        <v>2020</v>
      </c>
    </row>
    <row r="393" spans="1:80" ht="61.5" x14ac:dyDescent="0.85">
      <c r="A393" s="20">
        <v>1</v>
      </c>
      <c r="B393" s="66">
        <f>SUBTOTAL(103,$A$22:A393)</f>
        <v>350</v>
      </c>
      <c r="C393" s="24" t="s">
        <v>136</v>
      </c>
      <c r="D393" s="31">
        <f t="shared" si="121"/>
        <v>4278556.17</v>
      </c>
      <c r="E393" s="31">
        <v>0</v>
      </c>
      <c r="F393" s="31">
        <v>0</v>
      </c>
      <c r="G393" s="31">
        <v>0</v>
      </c>
      <c r="H393" s="31">
        <v>0</v>
      </c>
      <c r="I393" s="31">
        <v>0</v>
      </c>
      <c r="J393" s="31">
        <v>0</v>
      </c>
      <c r="K393" s="33">
        <v>0</v>
      </c>
      <c r="L393" s="31">
        <v>0</v>
      </c>
      <c r="M393" s="31">
        <v>1156</v>
      </c>
      <c r="N393" s="31">
        <v>4215326.28</v>
      </c>
      <c r="O393" s="31">
        <v>0</v>
      </c>
      <c r="P393" s="31">
        <v>0</v>
      </c>
      <c r="Q393" s="31">
        <v>0</v>
      </c>
      <c r="R393" s="31">
        <v>0</v>
      </c>
      <c r="S393" s="31">
        <v>0</v>
      </c>
      <c r="T393" s="31">
        <v>0</v>
      </c>
      <c r="U393" s="31">
        <v>0</v>
      </c>
      <c r="V393" s="31">
        <v>0</v>
      </c>
      <c r="W393" s="31">
        <v>0</v>
      </c>
      <c r="X393" s="31">
        <v>0</v>
      </c>
      <c r="Y393" s="31">
        <v>0</v>
      </c>
      <c r="Z393" s="31">
        <v>0</v>
      </c>
      <c r="AA393" s="31">
        <v>0</v>
      </c>
      <c r="AB393" s="31">
        <v>0</v>
      </c>
      <c r="AC393" s="31">
        <f t="shared" si="125"/>
        <v>63229.89</v>
      </c>
      <c r="AD393" s="31">
        <v>0</v>
      </c>
      <c r="AE393" s="31">
        <v>0</v>
      </c>
      <c r="AF393" s="34" t="s">
        <v>274</v>
      </c>
      <c r="AG393" s="34">
        <v>2020</v>
      </c>
      <c r="AH393" s="35">
        <v>2020</v>
      </c>
    </row>
    <row r="394" spans="1:80" ht="61.5" x14ac:dyDescent="0.85">
      <c r="B394" s="24" t="s">
        <v>875</v>
      </c>
      <c r="C394" s="24"/>
      <c r="D394" s="31">
        <f>D395+D396</f>
        <v>2913286.51</v>
      </c>
      <c r="E394" s="31">
        <f t="shared" ref="E394:AE394" si="126">E395+E396</f>
        <v>70832.23</v>
      </c>
      <c r="F394" s="31">
        <f t="shared" si="126"/>
        <v>0</v>
      </c>
      <c r="G394" s="31">
        <f t="shared" si="126"/>
        <v>0</v>
      </c>
      <c r="H394" s="31">
        <f t="shared" si="126"/>
        <v>47331.59</v>
      </c>
      <c r="I394" s="31">
        <f t="shared" si="126"/>
        <v>407867.48</v>
      </c>
      <c r="J394" s="31">
        <f t="shared" si="126"/>
        <v>0</v>
      </c>
      <c r="K394" s="33">
        <f t="shared" si="126"/>
        <v>0</v>
      </c>
      <c r="L394" s="31">
        <f t="shared" si="126"/>
        <v>0</v>
      </c>
      <c r="M394" s="31">
        <f t="shared" si="126"/>
        <v>612</v>
      </c>
      <c r="N394" s="31">
        <f t="shared" si="126"/>
        <v>2344240.58</v>
      </c>
      <c r="O394" s="31">
        <f t="shared" si="126"/>
        <v>0</v>
      </c>
      <c r="P394" s="31">
        <f t="shared" si="126"/>
        <v>0</v>
      </c>
      <c r="Q394" s="31">
        <f t="shared" si="126"/>
        <v>0</v>
      </c>
      <c r="R394" s="31">
        <f t="shared" si="126"/>
        <v>0</v>
      </c>
      <c r="S394" s="31">
        <f t="shared" si="126"/>
        <v>0</v>
      </c>
      <c r="T394" s="31">
        <f t="shared" si="126"/>
        <v>0</v>
      </c>
      <c r="U394" s="31">
        <f t="shared" si="126"/>
        <v>0</v>
      </c>
      <c r="V394" s="31">
        <f t="shared" si="126"/>
        <v>0</v>
      </c>
      <c r="W394" s="31">
        <f t="shared" si="126"/>
        <v>0</v>
      </c>
      <c r="X394" s="31">
        <f t="shared" si="126"/>
        <v>0</v>
      </c>
      <c r="Y394" s="31">
        <f t="shared" si="126"/>
        <v>0</v>
      </c>
      <c r="Z394" s="31">
        <f t="shared" si="126"/>
        <v>0</v>
      </c>
      <c r="AA394" s="31">
        <f t="shared" si="126"/>
        <v>0</v>
      </c>
      <c r="AB394" s="31">
        <f t="shared" si="126"/>
        <v>0</v>
      </c>
      <c r="AC394" s="31">
        <f t="shared" si="126"/>
        <v>43014.630000000005</v>
      </c>
      <c r="AD394" s="31">
        <f t="shared" si="126"/>
        <v>0</v>
      </c>
      <c r="AE394" s="31">
        <f t="shared" si="126"/>
        <v>0</v>
      </c>
      <c r="AF394" s="72" t="s">
        <v>794</v>
      </c>
      <c r="AG394" s="72" t="s">
        <v>794</v>
      </c>
      <c r="AH394" s="91" t="s">
        <v>794</v>
      </c>
      <c r="AT394" s="20" t="e">
        <f>VLOOKUP(C394,AW:AX,2,FALSE)</f>
        <v>#N/A</v>
      </c>
      <c r="BZ394" s="31">
        <v>3593882.32</v>
      </c>
      <c r="CA394" s="31"/>
      <c r="CB394" s="31">
        <f>BZ394-D394</f>
        <v>680595.81</v>
      </c>
    </row>
    <row r="395" spans="1:80" ht="61.5" x14ac:dyDescent="0.85">
      <c r="A395" s="20">
        <v>1</v>
      </c>
      <c r="B395" s="66">
        <f>SUBTOTAL(103,$A$22:A395)</f>
        <v>351</v>
      </c>
      <c r="C395" s="24" t="s">
        <v>121</v>
      </c>
      <c r="D395" s="31">
        <f t="shared" ref="D395:D396" si="127">E395+F395+G395+H395+I395+J395+L395+N395+P395+R395+T395+U395+V395+W395+X395+Y395+Z395+AA395+AB395+AC395+AD395+AE395</f>
        <v>2379404.19</v>
      </c>
      <c r="E395" s="31">
        <v>0</v>
      </c>
      <c r="F395" s="31">
        <v>0</v>
      </c>
      <c r="G395" s="31">
        <v>0</v>
      </c>
      <c r="H395" s="31">
        <v>0</v>
      </c>
      <c r="I395" s="31">
        <v>0</v>
      </c>
      <c r="J395" s="31">
        <v>0</v>
      </c>
      <c r="K395" s="33">
        <v>0</v>
      </c>
      <c r="L395" s="31">
        <v>0</v>
      </c>
      <c r="M395" s="31">
        <v>612</v>
      </c>
      <c r="N395" s="31">
        <v>2344240.58</v>
      </c>
      <c r="O395" s="31">
        <v>0</v>
      </c>
      <c r="P395" s="31">
        <v>0</v>
      </c>
      <c r="Q395" s="31">
        <v>0</v>
      </c>
      <c r="R395" s="31">
        <v>0</v>
      </c>
      <c r="S395" s="31">
        <v>0</v>
      </c>
      <c r="T395" s="31">
        <v>0</v>
      </c>
      <c r="U395" s="31">
        <v>0</v>
      </c>
      <c r="V395" s="31">
        <v>0</v>
      </c>
      <c r="W395" s="31">
        <v>0</v>
      </c>
      <c r="X395" s="31">
        <v>0</v>
      </c>
      <c r="Y395" s="31">
        <v>0</v>
      </c>
      <c r="Z395" s="31">
        <v>0</v>
      </c>
      <c r="AA395" s="31">
        <v>0</v>
      </c>
      <c r="AB395" s="31">
        <v>0</v>
      </c>
      <c r="AC395" s="31">
        <f>ROUND(N395*1.5%,2)</f>
        <v>35163.61</v>
      </c>
      <c r="AD395" s="31">
        <v>0</v>
      </c>
      <c r="AE395" s="31">
        <v>0</v>
      </c>
      <c r="AF395" s="34" t="s">
        <v>274</v>
      </c>
      <c r="AG395" s="34">
        <v>2020</v>
      </c>
      <c r="AH395" s="35">
        <v>2020</v>
      </c>
      <c r="AT395" s="20" t="e">
        <f>VLOOKUP(C395,AW:AX,2,FALSE)</f>
        <v>#N/A</v>
      </c>
    </row>
    <row r="396" spans="1:80" ht="61.5" x14ac:dyDescent="0.85">
      <c r="A396" s="20">
        <v>1</v>
      </c>
      <c r="B396" s="66">
        <f>SUBTOTAL(103,$A$22:A396)</f>
        <v>352</v>
      </c>
      <c r="C396" s="24" t="s">
        <v>1299</v>
      </c>
      <c r="D396" s="31">
        <f t="shared" si="127"/>
        <v>533882.31999999995</v>
      </c>
      <c r="E396" s="31">
        <v>70832.23</v>
      </c>
      <c r="F396" s="31">
        <v>0</v>
      </c>
      <c r="G396" s="31">
        <v>0</v>
      </c>
      <c r="H396" s="31">
        <v>47331.59</v>
      </c>
      <c r="I396" s="31">
        <v>407867.48</v>
      </c>
      <c r="J396" s="31">
        <v>0</v>
      </c>
      <c r="K396" s="33">
        <v>0</v>
      </c>
      <c r="L396" s="31">
        <v>0</v>
      </c>
      <c r="M396" s="31">
        <v>0</v>
      </c>
      <c r="N396" s="31">
        <v>0</v>
      </c>
      <c r="O396" s="31">
        <v>0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1">
        <v>0</v>
      </c>
      <c r="Y396" s="31">
        <v>0</v>
      </c>
      <c r="Z396" s="31">
        <v>0</v>
      </c>
      <c r="AA396" s="31">
        <v>0</v>
      </c>
      <c r="AB396" s="31">
        <v>0</v>
      </c>
      <c r="AC396" s="31">
        <f>ROUND((E396+F396+G396+H396+I396+J396)*1.4925%,2)</f>
        <v>7851.02</v>
      </c>
      <c r="AD396" s="31">
        <v>0</v>
      </c>
      <c r="AE396" s="31">
        <v>0</v>
      </c>
      <c r="AF396" s="34" t="s">
        <v>274</v>
      </c>
      <c r="AG396" s="34">
        <v>2020</v>
      </c>
      <c r="AH396" s="35">
        <v>2020</v>
      </c>
    </row>
    <row r="397" spans="1:80" ht="61.5" x14ac:dyDescent="0.85">
      <c r="B397" s="24" t="s">
        <v>935</v>
      </c>
      <c r="C397" s="24"/>
      <c r="D397" s="31">
        <f t="shared" ref="D397:AE397" si="128">D398</f>
        <v>2727875.44</v>
      </c>
      <c r="E397" s="31">
        <f t="shared" si="128"/>
        <v>0</v>
      </c>
      <c r="F397" s="31">
        <f t="shared" si="128"/>
        <v>0</v>
      </c>
      <c r="G397" s="31">
        <f t="shared" si="128"/>
        <v>0</v>
      </c>
      <c r="H397" s="31">
        <f t="shared" si="128"/>
        <v>0</v>
      </c>
      <c r="I397" s="31">
        <f t="shared" si="128"/>
        <v>0</v>
      </c>
      <c r="J397" s="31">
        <f t="shared" si="128"/>
        <v>0</v>
      </c>
      <c r="K397" s="33">
        <f t="shared" si="128"/>
        <v>0</v>
      </c>
      <c r="L397" s="31">
        <f t="shared" si="128"/>
        <v>0</v>
      </c>
      <c r="M397" s="31">
        <f t="shared" si="128"/>
        <v>313.10000000000002</v>
      </c>
      <c r="N397" s="31">
        <f t="shared" si="128"/>
        <v>1339691.19</v>
      </c>
      <c r="O397" s="31">
        <f t="shared" si="128"/>
        <v>0</v>
      </c>
      <c r="P397" s="31">
        <f t="shared" si="128"/>
        <v>0</v>
      </c>
      <c r="Q397" s="31">
        <f t="shared" si="128"/>
        <v>366.6</v>
      </c>
      <c r="R397" s="31">
        <f t="shared" si="128"/>
        <v>1219792</v>
      </c>
      <c r="S397" s="31">
        <f t="shared" si="128"/>
        <v>0</v>
      </c>
      <c r="T397" s="31">
        <f t="shared" si="128"/>
        <v>0</v>
      </c>
      <c r="U397" s="31">
        <f t="shared" si="128"/>
        <v>0</v>
      </c>
      <c r="V397" s="31">
        <f t="shared" si="128"/>
        <v>0</v>
      </c>
      <c r="W397" s="31">
        <f t="shared" si="128"/>
        <v>0</v>
      </c>
      <c r="X397" s="31">
        <f t="shared" si="128"/>
        <v>0</v>
      </c>
      <c r="Y397" s="31">
        <f t="shared" si="128"/>
        <v>0</v>
      </c>
      <c r="Z397" s="31">
        <f t="shared" si="128"/>
        <v>0</v>
      </c>
      <c r="AA397" s="31">
        <f t="shared" si="128"/>
        <v>0</v>
      </c>
      <c r="AB397" s="31">
        <f t="shared" si="128"/>
        <v>0</v>
      </c>
      <c r="AC397" s="31">
        <f t="shared" si="128"/>
        <v>38392.25</v>
      </c>
      <c r="AD397" s="31">
        <f t="shared" si="128"/>
        <v>130000</v>
      </c>
      <c r="AE397" s="31">
        <f t="shared" si="128"/>
        <v>0</v>
      </c>
      <c r="AF397" s="72" t="s">
        <v>794</v>
      </c>
      <c r="AG397" s="72" t="s">
        <v>794</v>
      </c>
      <c r="AH397" s="91" t="s">
        <v>794</v>
      </c>
      <c r="AT397" s="20" t="e">
        <f t="shared" ref="AT397:AT404" si="129">VLOOKUP(C397,AW:AX,2,FALSE)</f>
        <v>#N/A</v>
      </c>
    </row>
    <row r="398" spans="1:80" ht="61.5" x14ac:dyDescent="0.85">
      <c r="A398" s="20">
        <v>1</v>
      </c>
      <c r="B398" s="66">
        <f>SUBTOTAL(103,$A$22:A398)</f>
        <v>353</v>
      </c>
      <c r="C398" s="24" t="s">
        <v>122</v>
      </c>
      <c r="D398" s="31">
        <f t="shared" ref="D398" si="130">E398+F398+G398+H398+I398+J398+L398+N398+P398+R398+T398+U398+V398+W398+X398+Y398+Z398+AA398+AB398+AC398+AD398+AE398</f>
        <v>2727875.44</v>
      </c>
      <c r="E398" s="31">
        <v>0</v>
      </c>
      <c r="F398" s="31">
        <v>0</v>
      </c>
      <c r="G398" s="31">
        <v>0</v>
      </c>
      <c r="H398" s="31">
        <v>0</v>
      </c>
      <c r="I398" s="31">
        <v>0</v>
      </c>
      <c r="J398" s="31">
        <v>0</v>
      </c>
      <c r="K398" s="33">
        <v>0</v>
      </c>
      <c r="L398" s="31">
        <v>0</v>
      </c>
      <c r="M398" s="31">
        <v>313.10000000000002</v>
      </c>
      <c r="N398" s="31">
        <v>1339691.19</v>
      </c>
      <c r="O398" s="31">
        <v>0</v>
      </c>
      <c r="P398" s="31">
        <v>0</v>
      </c>
      <c r="Q398" s="31">
        <v>366.6</v>
      </c>
      <c r="R398" s="31">
        <v>1219792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1">
        <v>0</v>
      </c>
      <c r="Y398" s="31">
        <v>0</v>
      </c>
      <c r="Z398" s="31">
        <v>0</v>
      </c>
      <c r="AA398" s="31">
        <v>0</v>
      </c>
      <c r="AB398" s="31">
        <v>0</v>
      </c>
      <c r="AC398" s="31">
        <f>ROUND((N398+R398)*1.5%,2)</f>
        <v>38392.25</v>
      </c>
      <c r="AD398" s="31">
        <v>130000</v>
      </c>
      <c r="AE398" s="31">
        <v>0</v>
      </c>
      <c r="AF398" s="34">
        <v>2020</v>
      </c>
      <c r="AG398" s="34">
        <v>2020</v>
      </c>
      <c r="AH398" s="35">
        <v>2020</v>
      </c>
      <c r="AT398" s="20" t="e">
        <f t="shared" si="129"/>
        <v>#N/A</v>
      </c>
    </row>
    <row r="399" spans="1:80" ht="61.5" x14ac:dyDescent="0.85">
      <c r="B399" s="24" t="s">
        <v>876</v>
      </c>
      <c r="C399" s="24"/>
      <c r="D399" s="31">
        <f t="shared" ref="D399:AE399" si="131">D400</f>
        <v>3866903.76</v>
      </c>
      <c r="E399" s="31">
        <f t="shared" si="131"/>
        <v>0</v>
      </c>
      <c r="F399" s="31">
        <f t="shared" si="131"/>
        <v>0</v>
      </c>
      <c r="G399" s="31">
        <f t="shared" si="131"/>
        <v>0</v>
      </c>
      <c r="H399" s="31">
        <f t="shared" si="131"/>
        <v>0</v>
      </c>
      <c r="I399" s="31">
        <f t="shared" si="131"/>
        <v>0</v>
      </c>
      <c r="J399" s="31">
        <f t="shared" si="131"/>
        <v>0</v>
      </c>
      <c r="K399" s="33">
        <f t="shared" si="131"/>
        <v>0</v>
      </c>
      <c r="L399" s="31">
        <f t="shared" si="131"/>
        <v>0</v>
      </c>
      <c r="M399" s="31">
        <f t="shared" si="131"/>
        <v>681.29</v>
      </c>
      <c r="N399" s="31">
        <f t="shared" si="131"/>
        <v>3661974.15</v>
      </c>
      <c r="O399" s="31">
        <f t="shared" si="131"/>
        <v>0</v>
      </c>
      <c r="P399" s="31">
        <f t="shared" si="131"/>
        <v>0</v>
      </c>
      <c r="Q399" s="31">
        <f t="shared" si="131"/>
        <v>0</v>
      </c>
      <c r="R399" s="31">
        <f t="shared" si="131"/>
        <v>0</v>
      </c>
      <c r="S399" s="31">
        <f t="shared" si="131"/>
        <v>0</v>
      </c>
      <c r="T399" s="31">
        <f t="shared" si="131"/>
        <v>0</v>
      </c>
      <c r="U399" s="31">
        <f t="shared" si="131"/>
        <v>0</v>
      </c>
      <c r="V399" s="31">
        <f t="shared" si="131"/>
        <v>0</v>
      </c>
      <c r="W399" s="31">
        <f t="shared" si="131"/>
        <v>0</v>
      </c>
      <c r="X399" s="31">
        <f t="shared" si="131"/>
        <v>0</v>
      </c>
      <c r="Y399" s="31">
        <f t="shared" si="131"/>
        <v>0</v>
      </c>
      <c r="Z399" s="31">
        <f t="shared" si="131"/>
        <v>0</v>
      </c>
      <c r="AA399" s="31">
        <f t="shared" si="131"/>
        <v>0</v>
      </c>
      <c r="AB399" s="31">
        <f t="shared" si="131"/>
        <v>0</v>
      </c>
      <c r="AC399" s="31">
        <f t="shared" si="131"/>
        <v>54929.61</v>
      </c>
      <c r="AD399" s="31">
        <f t="shared" si="131"/>
        <v>150000</v>
      </c>
      <c r="AE399" s="31">
        <f t="shared" si="131"/>
        <v>0</v>
      </c>
      <c r="AF399" s="72" t="s">
        <v>794</v>
      </c>
      <c r="AG399" s="72" t="s">
        <v>794</v>
      </c>
      <c r="AH399" s="91" t="s">
        <v>794</v>
      </c>
      <c r="AT399" s="20" t="e">
        <f t="shared" si="129"/>
        <v>#N/A</v>
      </c>
    </row>
    <row r="400" spans="1:80" ht="61.5" x14ac:dyDescent="0.85">
      <c r="A400" s="20">
        <v>1</v>
      </c>
      <c r="B400" s="66">
        <f>SUBTOTAL(103,$A$22:A400)</f>
        <v>354</v>
      </c>
      <c r="C400" s="24" t="s">
        <v>123</v>
      </c>
      <c r="D400" s="31">
        <f t="shared" ref="D400" si="132">E400+F400+G400+H400+I400+J400+L400+N400+P400+R400+T400+U400+V400+W400+X400+Y400+Z400+AA400+AB400+AC400+AD400+AE400</f>
        <v>3866903.76</v>
      </c>
      <c r="E400" s="31">
        <v>0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3">
        <v>0</v>
      </c>
      <c r="L400" s="31">
        <v>0</v>
      </c>
      <c r="M400" s="31">
        <v>681.29</v>
      </c>
      <c r="N400" s="31">
        <f>3208325.12+446311.01+7338.02</f>
        <v>3661974.15</v>
      </c>
      <c r="O400" s="31">
        <v>0</v>
      </c>
      <c r="P400" s="31">
        <v>0</v>
      </c>
      <c r="Q400" s="31">
        <v>0</v>
      </c>
      <c r="R400" s="31">
        <v>0</v>
      </c>
      <c r="S400" s="31">
        <v>0</v>
      </c>
      <c r="T400" s="31">
        <v>0</v>
      </c>
      <c r="U400" s="31">
        <v>0</v>
      </c>
      <c r="V400" s="31">
        <v>0</v>
      </c>
      <c r="W400" s="31">
        <v>0</v>
      </c>
      <c r="X400" s="31">
        <v>0</v>
      </c>
      <c r="Y400" s="31">
        <v>0</v>
      </c>
      <c r="Z400" s="31">
        <v>0</v>
      </c>
      <c r="AA400" s="31">
        <v>0</v>
      </c>
      <c r="AB400" s="31">
        <v>0</v>
      </c>
      <c r="AC400" s="31">
        <f>ROUND(N400*1.5%,2)</f>
        <v>54929.61</v>
      </c>
      <c r="AD400" s="31">
        <v>150000</v>
      </c>
      <c r="AE400" s="31">
        <v>0</v>
      </c>
      <c r="AF400" s="34">
        <v>2020</v>
      </c>
      <c r="AG400" s="34">
        <v>2020</v>
      </c>
      <c r="AH400" s="35">
        <v>2020</v>
      </c>
      <c r="AT400" s="20" t="e">
        <f t="shared" si="129"/>
        <v>#N/A</v>
      </c>
    </row>
    <row r="401" spans="1:82" ht="61.5" x14ac:dyDescent="0.85">
      <c r="B401" s="24" t="s">
        <v>877</v>
      </c>
      <c r="C401" s="117"/>
      <c r="D401" s="31">
        <f>SUM(D402:D405)</f>
        <v>11389569.279999999</v>
      </c>
      <c r="E401" s="31">
        <f t="shared" ref="E401:AE401" si="133">SUM(E402:E405)</f>
        <v>0</v>
      </c>
      <c r="F401" s="31">
        <f t="shared" si="133"/>
        <v>0</v>
      </c>
      <c r="G401" s="31">
        <f t="shared" si="133"/>
        <v>0</v>
      </c>
      <c r="H401" s="31">
        <f t="shared" si="133"/>
        <v>0</v>
      </c>
      <c r="I401" s="31">
        <f t="shared" si="133"/>
        <v>0</v>
      </c>
      <c r="J401" s="31">
        <f t="shared" si="133"/>
        <v>0</v>
      </c>
      <c r="K401" s="33">
        <f t="shared" si="133"/>
        <v>0</v>
      </c>
      <c r="L401" s="31">
        <f t="shared" si="133"/>
        <v>0</v>
      </c>
      <c r="M401" s="31">
        <f t="shared" si="133"/>
        <v>747</v>
      </c>
      <c r="N401" s="31">
        <f t="shared" si="133"/>
        <v>4291026.4800000004</v>
      </c>
      <c r="O401" s="31">
        <f t="shared" si="133"/>
        <v>0</v>
      </c>
      <c r="P401" s="31">
        <f t="shared" si="133"/>
        <v>0</v>
      </c>
      <c r="Q401" s="31">
        <f t="shared" si="133"/>
        <v>336</v>
      </c>
      <c r="R401" s="31">
        <f t="shared" si="133"/>
        <v>2474562.84</v>
      </c>
      <c r="S401" s="31">
        <f t="shared" si="133"/>
        <v>0</v>
      </c>
      <c r="T401" s="31">
        <f t="shared" si="133"/>
        <v>0</v>
      </c>
      <c r="U401" s="31">
        <f t="shared" si="133"/>
        <v>4130538.05</v>
      </c>
      <c r="V401" s="31">
        <f t="shared" si="133"/>
        <v>0</v>
      </c>
      <c r="W401" s="31">
        <f t="shared" si="133"/>
        <v>0</v>
      </c>
      <c r="X401" s="31">
        <f t="shared" si="133"/>
        <v>0</v>
      </c>
      <c r="Y401" s="31">
        <f t="shared" si="133"/>
        <v>0</v>
      </c>
      <c r="Z401" s="31">
        <f t="shared" si="133"/>
        <v>0</v>
      </c>
      <c r="AA401" s="31">
        <f t="shared" si="133"/>
        <v>0</v>
      </c>
      <c r="AB401" s="31">
        <f t="shared" si="133"/>
        <v>0</v>
      </c>
      <c r="AC401" s="31">
        <f t="shared" si="133"/>
        <v>163441.91</v>
      </c>
      <c r="AD401" s="31">
        <f t="shared" si="133"/>
        <v>330000</v>
      </c>
      <c r="AE401" s="31">
        <f t="shared" si="133"/>
        <v>0</v>
      </c>
      <c r="AF401" s="72" t="s">
        <v>794</v>
      </c>
      <c r="AG401" s="72" t="s">
        <v>794</v>
      </c>
      <c r="AH401" s="91" t="s">
        <v>794</v>
      </c>
      <c r="AT401" s="20" t="e">
        <f t="shared" si="129"/>
        <v>#N/A</v>
      </c>
      <c r="CC401" s="31">
        <v>10475726.369999999</v>
      </c>
      <c r="CD401" s="31">
        <f>CC401-D401</f>
        <v>-913842.91000000015</v>
      </c>
    </row>
    <row r="402" spans="1:82" ht="61.5" x14ac:dyDescent="0.85">
      <c r="A402" s="20">
        <v>1</v>
      </c>
      <c r="B402" s="66">
        <f>SUBTOTAL(103,$A$22:A402)</f>
        <v>355</v>
      </c>
      <c r="C402" s="24" t="s">
        <v>174</v>
      </c>
      <c r="D402" s="31">
        <f t="shared" ref="D402:D405" si="134">E402+F402+G402+H402+I402+J402+L402+N402+P402+R402+T402+U402+V402+W402+X402+Y402+Z402+AA402+AB402+AC402+AD402+AE402</f>
        <v>3297577.4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3">
        <v>0</v>
      </c>
      <c r="L402" s="31">
        <v>0</v>
      </c>
      <c r="M402" s="31">
        <v>575</v>
      </c>
      <c r="N402" s="31">
        <f>3248844.73</f>
        <v>3248844.73</v>
      </c>
      <c r="O402" s="31">
        <v>0</v>
      </c>
      <c r="P402" s="31">
        <v>0</v>
      </c>
      <c r="Q402" s="31">
        <v>0</v>
      </c>
      <c r="R402" s="31">
        <v>0</v>
      </c>
      <c r="S402" s="31">
        <v>0</v>
      </c>
      <c r="T402" s="31">
        <v>0</v>
      </c>
      <c r="U402" s="31">
        <v>0</v>
      </c>
      <c r="V402" s="31">
        <v>0</v>
      </c>
      <c r="W402" s="31">
        <v>0</v>
      </c>
      <c r="X402" s="31">
        <v>0</v>
      </c>
      <c r="Y402" s="31">
        <v>0</v>
      </c>
      <c r="Z402" s="31">
        <v>0</v>
      </c>
      <c r="AA402" s="31">
        <v>0</v>
      </c>
      <c r="AB402" s="31">
        <v>0</v>
      </c>
      <c r="AC402" s="31">
        <f>ROUND(N402*1.5%,2)</f>
        <v>48732.67</v>
      </c>
      <c r="AD402" s="31">
        <v>0</v>
      </c>
      <c r="AE402" s="31">
        <v>0</v>
      </c>
      <c r="AF402" s="34" t="s">
        <v>274</v>
      </c>
      <c r="AG402" s="34">
        <v>2020</v>
      </c>
      <c r="AH402" s="35">
        <v>2020</v>
      </c>
      <c r="AT402" s="20" t="e">
        <f t="shared" si="129"/>
        <v>#N/A</v>
      </c>
    </row>
    <row r="403" spans="1:82" ht="61.5" x14ac:dyDescent="0.85">
      <c r="A403" s="20">
        <v>1</v>
      </c>
      <c r="B403" s="66">
        <f>SUBTOTAL(103,$A$22:A403)</f>
        <v>356</v>
      </c>
      <c r="C403" s="24" t="s">
        <v>175</v>
      </c>
      <c r="D403" s="31">
        <f t="shared" si="134"/>
        <v>2511681.2799999998</v>
      </c>
      <c r="E403" s="31">
        <v>0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3">
        <v>0</v>
      </c>
      <c r="L403" s="31">
        <v>0</v>
      </c>
      <c r="M403" s="31">
        <v>0</v>
      </c>
      <c r="N403" s="31">
        <v>0</v>
      </c>
      <c r="O403" s="31">
        <v>0</v>
      </c>
      <c r="P403" s="31">
        <v>0</v>
      </c>
      <c r="Q403" s="31">
        <v>336</v>
      </c>
      <c r="R403" s="31">
        <f>2465520.05+9042.79</f>
        <v>2474562.84</v>
      </c>
      <c r="S403" s="31">
        <v>0</v>
      </c>
      <c r="T403" s="31">
        <v>0</v>
      </c>
      <c r="U403" s="31">
        <v>0</v>
      </c>
      <c r="V403" s="31">
        <v>0</v>
      </c>
      <c r="W403" s="31">
        <v>0</v>
      </c>
      <c r="X403" s="31">
        <v>0</v>
      </c>
      <c r="Y403" s="31">
        <v>0</v>
      </c>
      <c r="Z403" s="31">
        <v>0</v>
      </c>
      <c r="AA403" s="31">
        <v>0</v>
      </c>
      <c r="AB403" s="31">
        <v>0</v>
      </c>
      <c r="AC403" s="31">
        <f t="shared" ref="AC403" si="135">ROUND(R403*1.5%,2)</f>
        <v>37118.44</v>
      </c>
      <c r="AD403" s="31">
        <v>0</v>
      </c>
      <c r="AE403" s="31">
        <v>0</v>
      </c>
      <c r="AF403" s="34" t="s">
        <v>274</v>
      </c>
      <c r="AG403" s="34">
        <v>2020</v>
      </c>
      <c r="AH403" s="35">
        <v>2020</v>
      </c>
      <c r="AT403" s="20" t="e">
        <f t="shared" si="129"/>
        <v>#N/A</v>
      </c>
    </row>
    <row r="404" spans="1:82" ht="61.5" x14ac:dyDescent="0.85">
      <c r="A404" s="20">
        <v>1</v>
      </c>
      <c r="B404" s="66">
        <f>SUBTOTAL(103,$A$22:A404)</f>
        <v>357</v>
      </c>
      <c r="C404" s="24" t="s">
        <v>173</v>
      </c>
      <c r="D404" s="31">
        <f t="shared" si="134"/>
        <v>4462496.1199999992</v>
      </c>
      <c r="E404" s="31">
        <v>0</v>
      </c>
      <c r="F404" s="31">
        <v>0</v>
      </c>
      <c r="G404" s="31">
        <v>0</v>
      </c>
      <c r="H404" s="31">
        <v>0</v>
      </c>
      <c r="I404" s="31">
        <v>0</v>
      </c>
      <c r="J404" s="31">
        <v>0</v>
      </c>
      <c r="K404" s="33">
        <v>0</v>
      </c>
      <c r="L404" s="31">
        <v>0</v>
      </c>
      <c r="M404" s="31">
        <v>0</v>
      </c>
      <c r="N404" s="31">
        <v>0</v>
      </c>
      <c r="O404" s="31">
        <v>0</v>
      </c>
      <c r="P404" s="31">
        <v>0</v>
      </c>
      <c r="Q404" s="31">
        <v>0</v>
      </c>
      <c r="R404" s="31">
        <v>0</v>
      </c>
      <c r="S404" s="31">
        <v>0</v>
      </c>
      <c r="T404" s="31">
        <v>0</v>
      </c>
      <c r="U404" s="31">
        <f>4178507.88-47969.83</f>
        <v>4130538.05</v>
      </c>
      <c r="V404" s="31">
        <v>0</v>
      </c>
      <c r="W404" s="31">
        <v>0</v>
      </c>
      <c r="X404" s="31">
        <v>0</v>
      </c>
      <c r="Y404" s="31">
        <v>0</v>
      </c>
      <c r="Z404" s="31">
        <v>0</v>
      </c>
      <c r="AA404" s="31">
        <v>0</v>
      </c>
      <c r="AB404" s="31">
        <v>0</v>
      </c>
      <c r="AC404" s="31">
        <f>ROUND(U404*1.5%,2)</f>
        <v>61958.07</v>
      </c>
      <c r="AD404" s="31">
        <v>270000</v>
      </c>
      <c r="AE404" s="31">
        <v>0</v>
      </c>
      <c r="AF404" s="34">
        <v>2020</v>
      </c>
      <c r="AG404" s="34">
        <v>2020</v>
      </c>
      <c r="AH404" s="35">
        <v>2020</v>
      </c>
      <c r="AT404" s="20" t="e">
        <f t="shared" si="129"/>
        <v>#N/A</v>
      </c>
    </row>
    <row r="405" spans="1:82" ht="61.5" x14ac:dyDescent="0.85">
      <c r="A405" s="20">
        <v>1</v>
      </c>
      <c r="B405" s="66">
        <f>SUBTOTAL(103,$A$22:A405)</f>
        <v>358</v>
      </c>
      <c r="C405" s="24" t="s">
        <v>1672</v>
      </c>
      <c r="D405" s="31">
        <f t="shared" si="134"/>
        <v>1117814.48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3">
        <v>0</v>
      </c>
      <c r="L405" s="31">
        <v>0</v>
      </c>
      <c r="M405" s="31">
        <v>172</v>
      </c>
      <c r="N405" s="31">
        <f>898149.6+144032.15</f>
        <v>1042181.75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f>ROUND(N405*1.5%,2)</f>
        <v>15632.73</v>
      </c>
      <c r="AD405" s="31">
        <v>60000</v>
      </c>
      <c r="AE405" s="31">
        <v>0</v>
      </c>
      <c r="AF405" s="34">
        <v>2020</v>
      </c>
      <c r="AG405" s="34">
        <v>2020</v>
      </c>
      <c r="AH405" s="35">
        <v>2020</v>
      </c>
    </row>
    <row r="406" spans="1:82" ht="61.5" x14ac:dyDescent="0.85">
      <c r="B406" s="24" t="s">
        <v>878</v>
      </c>
      <c r="C406" s="24"/>
      <c r="D406" s="31">
        <f>SUM(D407:D408)</f>
        <v>4635021.79</v>
      </c>
      <c r="E406" s="31">
        <f t="shared" ref="E406:AE406" si="136">SUM(E407:E408)</f>
        <v>169822.4</v>
      </c>
      <c r="F406" s="31">
        <f t="shared" si="136"/>
        <v>0</v>
      </c>
      <c r="G406" s="31">
        <f t="shared" si="136"/>
        <v>1632000</v>
      </c>
      <c r="H406" s="31">
        <f t="shared" si="136"/>
        <v>200000</v>
      </c>
      <c r="I406" s="31">
        <f t="shared" si="136"/>
        <v>268959.81</v>
      </c>
      <c r="J406" s="31">
        <f t="shared" si="136"/>
        <v>0</v>
      </c>
      <c r="K406" s="33">
        <f t="shared" si="136"/>
        <v>0</v>
      </c>
      <c r="L406" s="31">
        <f t="shared" si="136"/>
        <v>0</v>
      </c>
      <c r="M406" s="31">
        <f t="shared" si="136"/>
        <v>455</v>
      </c>
      <c r="N406" s="31">
        <f t="shared" si="136"/>
        <v>2177515.12</v>
      </c>
      <c r="O406" s="31">
        <f t="shared" si="136"/>
        <v>0</v>
      </c>
      <c r="P406" s="31">
        <f t="shared" si="136"/>
        <v>0</v>
      </c>
      <c r="Q406" s="31">
        <f t="shared" si="136"/>
        <v>0</v>
      </c>
      <c r="R406" s="31">
        <f t="shared" si="136"/>
        <v>0</v>
      </c>
      <c r="S406" s="31">
        <f t="shared" si="136"/>
        <v>0</v>
      </c>
      <c r="T406" s="31">
        <f t="shared" si="136"/>
        <v>0</v>
      </c>
      <c r="U406" s="31">
        <f t="shared" si="136"/>
        <v>0</v>
      </c>
      <c r="V406" s="31">
        <f t="shared" si="136"/>
        <v>0</v>
      </c>
      <c r="W406" s="31">
        <f t="shared" si="136"/>
        <v>0</v>
      </c>
      <c r="X406" s="31">
        <f t="shared" si="136"/>
        <v>0</v>
      </c>
      <c r="Y406" s="31">
        <f t="shared" si="136"/>
        <v>0</v>
      </c>
      <c r="Z406" s="31">
        <f t="shared" si="136"/>
        <v>0</v>
      </c>
      <c r="AA406" s="31">
        <f t="shared" si="136"/>
        <v>0</v>
      </c>
      <c r="AB406" s="31">
        <f t="shared" si="136"/>
        <v>0</v>
      </c>
      <c r="AC406" s="31">
        <f t="shared" si="136"/>
        <v>66724.460000000006</v>
      </c>
      <c r="AD406" s="31">
        <f t="shared" si="136"/>
        <v>120000</v>
      </c>
      <c r="AE406" s="31">
        <f t="shared" si="136"/>
        <v>0</v>
      </c>
      <c r="AF406" s="72" t="s">
        <v>794</v>
      </c>
      <c r="AG406" s="72" t="s">
        <v>794</v>
      </c>
      <c r="AH406" s="91" t="s">
        <v>794</v>
      </c>
      <c r="AT406" s="20" t="e">
        <f>VLOOKUP(C406,AW:AX,2,FALSE)</f>
        <v>#N/A</v>
      </c>
      <c r="CC406" s="31">
        <v>3960937.4299999997</v>
      </c>
      <c r="CD406" s="31">
        <f>CC406-D406</f>
        <v>-674084.36000000034</v>
      </c>
    </row>
    <row r="407" spans="1:82" ht="61.5" x14ac:dyDescent="0.85">
      <c r="A407" s="20">
        <v>1</v>
      </c>
      <c r="B407" s="66">
        <f>SUBTOTAL(103,$A$22:A407)</f>
        <v>359</v>
      </c>
      <c r="C407" s="24" t="s">
        <v>172</v>
      </c>
      <c r="D407" s="31">
        <f t="shared" ref="D407:D408" si="137">E407+F407+G407+H407+I407+J407+L407+N407+P407+R407+T407+U407+V407+W407+X407+Y407+Z407+AA407+AB407+AC407+AD407+AE407</f>
        <v>2330177.85</v>
      </c>
      <c r="E407" s="31">
        <v>0</v>
      </c>
      <c r="F407" s="31">
        <v>0</v>
      </c>
      <c r="G407" s="31">
        <v>0</v>
      </c>
      <c r="H407" s="31">
        <v>0</v>
      </c>
      <c r="I407" s="31">
        <v>0</v>
      </c>
      <c r="J407" s="31">
        <v>0</v>
      </c>
      <c r="K407" s="33">
        <v>0</v>
      </c>
      <c r="L407" s="31">
        <v>0</v>
      </c>
      <c r="M407" s="31">
        <v>455</v>
      </c>
      <c r="N407" s="31">
        <v>2177515.12</v>
      </c>
      <c r="O407" s="31">
        <v>0</v>
      </c>
      <c r="P407" s="31">
        <v>0</v>
      </c>
      <c r="Q407" s="31">
        <v>0</v>
      </c>
      <c r="R407" s="31">
        <v>0</v>
      </c>
      <c r="S407" s="31">
        <v>0</v>
      </c>
      <c r="T407" s="31">
        <v>0</v>
      </c>
      <c r="U407" s="31">
        <v>0</v>
      </c>
      <c r="V407" s="31">
        <v>0</v>
      </c>
      <c r="W407" s="31">
        <v>0</v>
      </c>
      <c r="X407" s="31">
        <v>0</v>
      </c>
      <c r="Y407" s="31">
        <v>0</v>
      </c>
      <c r="Z407" s="31">
        <v>0</v>
      </c>
      <c r="AA407" s="31">
        <v>0</v>
      </c>
      <c r="AB407" s="31">
        <v>0</v>
      </c>
      <c r="AC407" s="31">
        <f>ROUND(N407*1.5%,2)</f>
        <v>32662.73</v>
      </c>
      <c r="AD407" s="31">
        <v>120000</v>
      </c>
      <c r="AE407" s="31">
        <v>0</v>
      </c>
      <c r="AF407" s="34">
        <v>2020</v>
      </c>
      <c r="AG407" s="34">
        <v>2020</v>
      </c>
      <c r="AH407" s="35">
        <v>2020</v>
      </c>
      <c r="AT407" s="20" t="e">
        <f>VLOOKUP(C407,AW:AX,2,FALSE)</f>
        <v>#N/A</v>
      </c>
    </row>
    <row r="408" spans="1:82" ht="61.5" x14ac:dyDescent="0.85">
      <c r="A408" s="20">
        <v>1</v>
      </c>
      <c r="B408" s="66">
        <f>SUBTOTAL(103,$A$22:A408)</f>
        <v>360</v>
      </c>
      <c r="C408" s="24" t="s">
        <v>1302</v>
      </c>
      <c r="D408" s="31">
        <f t="shared" si="137"/>
        <v>2304843.94</v>
      </c>
      <c r="E408" s="31">
        <v>169822.4</v>
      </c>
      <c r="F408" s="31">
        <v>0</v>
      </c>
      <c r="G408" s="31">
        <v>1632000</v>
      </c>
      <c r="H408" s="31">
        <v>200000</v>
      </c>
      <c r="I408" s="31">
        <v>268959.81</v>
      </c>
      <c r="J408" s="31">
        <v>0</v>
      </c>
      <c r="K408" s="33">
        <v>0</v>
      </c>
      <c r="L408" s="31">
        <v>0</v>
      </c>
      <c r="M408" s="31">
        <v>0</v>
      </c>
      <c r="N408" s="31">
        <v>0</v>
      </c>
      <c r="O408" s="31">
        <v>0</v>
      </c>
      <c r="P408" s="31">
        <v>0</v>
      </c>
      <c r="Q408" s="31">
        <v>0</v>
      </c>
      <c r="R408" s="31">
        <v>0</v>
      </c>
      <c r="S408" s="31">
        <v>0</v>
      </c>
      <c r="T408" s="31">
        <v>0</v>
      </c>
      <c r="U408" s="31">
        <v>0</v>
      </c>
      <c r="V408" s="31">
        <v>0</v>
      </c>
      <c r="W408" s="31">
        <v>0</v>
      </c>
      <c r="X408" s="31">
        <v>0</v>
      </c>
      <c r="Y408" s="31">
        <v>0</v>
      </c>
      <c r="Z408" s="31">
        <v>0</v>
      </c>
      <c r="AA408" s="31">
        <v>0</v>
      </c>
      <c r="AB408" s="31">
        <v>0</v>
      </c>
      <c r="AC408" s="31">
        <f t="shared" ref="AC408" si="138">ROUND((E408+F408+G408+H408+I408+J408)*1.5%,2)</f>
        <v>34061.730000000003</v>
      </c>
      <c r="AD408" s="31">
        <v>0</v>
      </c>
      <c r="AE408" s="31">
        <v>0</v>
      </c>
      <c r="AF408" s="34" t="s">
        <v>274</v>
      </c>
      <c r="AG408" s="34">
        <v>2020</v>
      </c>
      <c r="AH408" s="35">
        <v>2020</v>
      </c>
    </row>
    <row r="409" spans="1:82" ht="61.5" x14ac:dyDescent="0.85">
      <c r="B409" s="24" t="s">
        <v>880</v>
      </c>
      <c r="C409" s="24"/>
      <c r="D409" s="31">
        <f>D410</f>
        <v>1547699.36</v>
      </c>
      <c r="E409" s="31">
        <f t="shared" ref="E409:AE409" si="139">E410</f>
        <v>0</v>
      </c>
      <c r="F409" s="31">
        <f t="shared" si="139"/>
        <v>0</v>
      </c>
      <c r="G409" s="31">
        <f t="shared" si="139"/>
        <v>0</v>
      </c>
      <c r="H409" s="31">
        <f t="shared" si="139"/>
        <v>0</v>
      </c>
      <c r="I409" s="31">
        <f t="shared" si="139"/>
        <v>0</v>
      </c>
      <c r="J409" s="31">
        <f t="shared" si="139"/>
        <v>0</v>
      </c>
      <c r="K409" s="33">
        <f t="shared" si="139"/>
        <v>0</v>
      </c>
      <c r="L409" s="31">
        <f t="shared" si="139"/>
        <v>0</v>
      </c>
      <c r="M409" s="31">
        <f t="shared" si="139"/>
        <v>300</v>
      </c>
      <c r="N409" s="31">
        <f t="shared" si="139"/>
        <v>1406600.35</v>
      </c>
      <c r="O409" s="31">
        <f t="shared" si="139"/>
        <v>0</v>
      </c>
      <c r="P409" s="31">
        <f t="shared" si="139"/>
        <v>0</v>
      </c>
      <c r="Q409" s="31">
        <f t="shared" si="139"/>
        <v>0</v>
      </c>
      <c r="R409" s="31">
        <f t="shared" si="139"/>
        <v>0</v>
      </c>
      <c r="S409" s="31">
        <f t="shared" si="139"/>
        <v>0</v>
      </c>
      <c r="T409" s="31">
        <f t="shared" si="139"/>
        <v>0</v>
      </c>
      <c r="U409" s="31">
        <f t="shared" si="139"/>
        <v>0</v>
      </c>
      <c r="V409" s="31">
        <f t="shared" si="139"/>
        <v>0</v>
      </c>
      <c r="W409" s="31">
        <f t="shared" si="139"/>
        <v>0</v>
      </c>
      <c r="X409" s="31">
        <f t="shared" si="139"/>
        <v>0</v>
      </c>
      <c r="Y409" s="31">
        <f t="shared" si="139"/>
        <v>0</v>
      </c>
      <c r="Z409" s="31">
        <f t="shared" si="139"/>
        <v>0</v>
      </c>
      <c r="AA409" s="31">
        <f t="shared" si="139"/>
        <v>0</v>
      </c>
      <c r="AB409" s="31">
        <f t="shared" si="139"/>
        <v>0</v>
      </c>
      <c r="AC409" s="31">
        <f t="shared" si="139"/>
        <v>21099.01</v>
      </c>
      <c r="AD409" s="31">
        <f t="shared" si="139"/>
        <v>120000</v>
      </c>
      <c r="AE409" s="31">
        <f t="shared" si="139"/>
        <v>0</v>
      </c>
      <c r="AF409" s="72" t="s">
        <v>794</v>
      </c>
      <c r="AG409" s="72" t="s">
        <v>794</v>
      </c>
      <c r="AH409" s="91" t="s">
        <v>794</v>
      </c>
      <c r="AT409" s="20" t="e">
        <f>VLOOKUP(C409,AW:AX,2,FALSE)</f>
        <v>#N/A</v>
      </c>
    </row>
    <row r="410" spans="1:82" ht="61.5" x14ac:dyDescent="0.85">
      <c r="A410" s="20">
        <v>1</v>
      </c>
      <c r="B410" s="66">
        <f>SUBTOTAL(103,$A$22:A410)</f>
        <v>361</v>
      </c>
      <c r="C410" s="24" t="s">
        <v>171</v>
      </c>
      <c r="D410" s="31">
        <f t="shared" ref="D410" si="140">E410+F410+G410+H410+I410+J410+L410+N410+P410+R410+T410+U410+V410+W410+X410+Y410+Z410+AA410+AB410+AC410+AD410+AE410</f>
        <v>1547699.36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3">
        <v>0</v>
      </c>
      <c r="L410" s="31">
        <v>0</v>
      </c>
      <c r="M410" s="31">
        <v>300</v>
      </c>
      <c r="N410" s="31">
        <f>1395449.26+11151.09</f>
        <v>1406600.35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1">
        <v>0</v>
      </c>
      <c r="U410" s="31">
        <v>0</v>
      </c>
      <c r="V410" s="31">
        <v>0</v>
      </c>
      <c r="W410" s="31">
        <v>0</v>
      </c>
      <c r="X410" s="31">
        <v>0</v>
      </c>
      <c r="Y410" s="31">
        <v>0</v>
      </c>
      <c r="Z410" s="31">
        <v>0</v>
      </c>
      <c r="AA410" s="31">
        <v>0</v>
      </c>
      <c r="AB410" s="31">
        <v>0</v>
      </c>
      <c r="AC410" s="31">
        <f>ROUND(N410*1.5%,2)</f>
        <v>21099.01</v>
      </c>
      <c r="AD410" s="31">
        <v>120000</v>
      </c>
      <c r="AE410" s="31">
        <v>0</v>
      </c>
      <c r="AF410" s="34">
        <v>2020</v>
      </c>
      <c r="AG410" s="34">
        <v>2020</v>
      </c>
      <c r="AH410" s="35">
        <v>2020</v>
      </c>
      <c r="AT410" s="20" t="e">
        <f>VLOOKUP(C410,AW:AX,2,FALSE)</f>
        <v>#N/A</v>
      </c>
    </row>
    <row r="411" spans="1:82" ht="61.5" x14ac:dyDescent="0.85">
      <c r="B411" s="24" t="s">
        <v>879</v>
      </c>
      <c r="C411" s="24"/>
      <c r="D411" s="31">
        <f>SUM(D412:D415)</f>
        <v>7290181.6600000001</v>
      </c>
      <c r="E411" s="31">
        <f t="shared" ref="E411:AE411" si="141">SUM(E412:E415)</f>
        <v>0</v>
      </c>
      <c r="F411" s="31">
        <f t="shared" si="141"/>
        <v>0</v>
      </c>
      <c r="G411" s="31">
        <f t="shared" si="141"/>
        <v>0</v>
      </c>
      <c r="H411" s="31">
        <f t="shared" si="141"/>
        <v>0</v>
      </c>
      <c r="I411" s="31">
        <f t="shared" si="141"/>
        <v>0</v>
      </c>
      <c r="J411" s="31">
        <f t="shared" si="141"/>
        <v>0</v>
      </c>
      <c r="K411" s="33">
        <f t="shared" si="141"/>
        <v>0</v>
      </c>
      <c r="L411" s="31">
        <f t="shared" si="141"/>
        <v>0</v>
      </c>
      <c r="M411" s="31">
        <f t="shared" si="141"/>
        <v>535.29999999999995</v>
      </c>
      <c r="N411" s="31">
        <f t="shared" si="141"/>
        <v>2292353.0299999998</v>
      </c>
      <c r="O411" s="31">
        <f t="shared" si="141"/>
        <v>0</v>
      </c>
      <c r="P411" s="31">
        <f t="shared" si="141"/>
        <v>0</v>
      </c>
      <c r="Q411" s="31">
        <f t="shared" si="141"/>
        <v>921.59999999999991</v>
      </c>
      <c r="R411" s="31">
        <f t="shared" si="141"/>
        <v>3437480.3200000003</v>
      </c>
      <c r="S411" s="31">
        <f t="shared" si="141"/>
        <v>0</v>
      </c>
      <c r="T411" s="31">
        <f t="shared" si="141"/>
        <v>0</v>
      </c>
      <c r="U411" s="31">
        <f t="shared" si="141"/>
        <v>1266000</v>
      </c>
      <c r="V411" s="31">
        <f t="shared" si="141"/>
        <v>0</v>
      </c>
      <c r="W411" s="31">
        <f t="shared" si="141"/>
        <v>0</v>
      </c>
      <c r="X411" s="31">
        <f t="shared" si="141"/>
        <v>0</v>
      </c>
      <c r="Y411" s="31">
        <f t="shared" si="141"/>
        <v>0</v>
      </c>
      <c r="Z411" s="31">
        <f t="shared" si="141"/>
        <v>0</v>
      </c>
      <c r="AA411" s="31">
        <f t="shared" si="141"/>
        <v>0</v>
      </c>
      <c r="AB411" s="31">
        <f t="shared" si="141"/>
        <v>0</v>
      </c>
      <c r="AC411" s="31">
        <f t="shared" si="141"/>
        <v>104937.5</v>
      </c>
      <c r="AD411" s="31">
        <f t="shared" si="141"/>
        <v>189410.81</v>
      </c>
      <c r="AE411" s="31">
        <f t="shared" si="141"/>
        <v>0</v>
      </c>
      <c r="AF411" s="72" t="s">
        <v>794</v>
      </c>
      <c r="AG411" s="72" t="s">
        <v>794</v>
      </c>
      <c r="AH411" s="91" t="s">
        <v>794</v>
      </c>
      <c r="AT411" s="20" t="e">
        <f>VLOOKUP(C411,AW:AX,2,FALSE)</f>
        <v>#N/A</v>
      </c>
      <c r="CC411" s="31">
        <v>6271514.3100000005</v>
      </c>
      <c r="CD411" s="31">
        <f>CC411-D411</f>
        <v>-1018667.3499999996</v>
      </c>
    </row>
    <row r="412" spans="1:82" ht="61.5" x14ac:dyDescent="0.85">
      <c r="A412" s="20">
        <v>1</v>
      </c>
      <c r="B412" s="66">
        <f>SUBTOTAL(103,$A$22:A412)</f>
        <v>362</v>
      </c>
      <c r="C412" s="24" t="s">
        <v>186</v>
      </c>
      <c r="D412" s="31">
        <f t="shared" ref="D412:D415" si="142">E412+F412+G412+H412+I412+J412+L412+N412+P412+R412+T412+U412+V412+W412+X412+Y412+Z412+AA412+AB412+AC412+AD412+AE412</f>
        <v>1659429.9100000001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3">
        <v>0</v>
      </c>
      <c r="L412" s="31">
        <v>0</v>
      </c>
      <c r="M412" s="31">
        <v>0</v>
      </c>
      <c r="N412" s="31">
        <v>0</v>
      </c>
      <c r="O412" s="31">
        <v>0</v>
      </c>
      <c r="P412" s="31">
        <v>0</v>
      </c>
      <c r="Q412" s="31">
        <v>403.2</v>
      </c>
      <c r="R412" s="31">
        <v>1546816.85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1">
        <v>0</v>
      </c>
      <c r="AA412" s="31">
        <v>0</v>
      </c>
      <c r="AB412" s="31">
        <v>0</v>
      </c>
      <c r="AC412" s="31">
        <f t="shared" ref="AC412" si="143">ROUND(R412*1.5%,2)</f>
        <v>23202.25</v>
      </c>
      <c r="AD412" s="31">
        <v>89410.81</v>
      </c>
      <c r="AE412" s="31">
        <v>0</v>
      </c>
      <c r="AF412" s="34">
        <v>2020</v>
      </c>
      <c r="AG412" s="34">
        <v>2020</v>
      </c>
      <c r="AH412" s="35">
        <v>2020</v>
      </c>
      <c r="AT412" s="20" t="e">
        <f>VLOOKUP(C412,AW:AX,2,FALSE)</f>
        <v>#N/A</v>
      </c>
    </row>
    <row r="413" spans="1:82" ht="61.5" x14ac:dyDescent="0.85">
      <c r="A413" s="20">
        <v>1</v>
      </c>
      <c r="B413" s="66">
        <f>SUBTOTAL(103,$A$22:A413)</f>
        <v>363</v>
      </c>
      <c r="C413" s="24" t="s">
        <v>1300</v>
      </c>
      <c r="D413" s="31">
        <f t="shared" si="142"/>
        <v>1919023.42</v>
      </c>
      <c r="E413" s="31">
        <v>0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3">
        <v>0</v>
      </c>
      <c r="L413" s="31">
        <v>0</v>
      </c>
      <c r="M413" s="31">
        <v>0</v>
      </c>
      <c r="N413" s="31">
        <v>0</v>
      </c>
      <c r="O413" s="31">
        <v>0</v>
      </c>
      <c r="P413" s="31">
        <v>0</v>
      </c>
      <c r="Q413" s="31">
        <v>518.4</v>
      </c>
      <c r="R413" s="31">
        <v>1890663.47</v>
      </c>
      <c r="S413" s="31">
        <v>0</v>
      </c>
      <c r="T413" s="31">
        <v>0</v>
      </c>
      <c r="U413" s="31">
        <v>0</v>
      </c>
      <c r="V413" s="31">
        <v>0</v>
      </c>
      <c r="W413" s="31">
        <v>0</v>
      </c>
      <c r="X413" s="31">
        <v>0</v>
      </c>
      <c r="Y413" s="31">
        <v>0</v>
      </c>
      <c r="Z413" s="31">
        <v>0</v>
      </c>
      <c r="AA413" s="31">
        <v>0</v>
      </c>
      <c r="AB413" s="31">
        <v>0</v>
      </c>
      <c r="AC413" s="31">
        <f>ROUND(R413*1.5%,2)</f>
        <v>28359.95</v>
      </c>
      <c r="AD413" s="31">
        <v>0</v>
      </c>
      <c r="AE413" s="31">
        <v>0</v>
      </c>
      <c r="AF413" s="34" t="s">
        <v>274</v>
      </c>
      <c r="AG413" s="34">
        <v>2020</v>
      </c>
      <c r="AH413" s="35">
        <v>2020</v>
      </c>
    </row>
    <row r="414" spans="1:82" ht="61.5" x14ac:dyDescent="0.85">
      <c r="A414" s="20">
        <v>1</v>
      </c>
      <c r="B414" s="66">
        <f>SUBTOTAL(103,$A$22:A414)</f>
        <v>364</v>
      </c>
      <c r="C414" s="24" t="s">
        <v>1301</v>
      </c>
      <c r="D414" s="31">
        <f t="shared" si="142"/>
        <v>2326738.3299999996</v>
      </c>
      <c r="E414" s="31">
        <v>0</v>
      </c>
      <c r="F414" s="31">
        <v>0</v>
      </c>
      <c r="G414" s="31">
        <v>0</v>
      </c>
      <c r="H414" s="31">
        <v>0</v>
      </c>
      <c r="I414" s="31">
        <v>0</v>
      </c>
      <c r="J414" s="31">
        <v>0</v>
      </c>
      <c r="K414" s="33">
        <v>0</v>
      </c>
      <c r="L414" s="31">
        <v>0</v>
      </c>
      <c r="M414" s="31">
        <v>535.29999999999995</v>
      </c>
      <c r="N414" s="31">
        <v>2292353.0299999998</v>
      </c>
      <c r="O414" s="31">
        <v>0</v>
      </c>
      <c r="P414" s="31">
        <v>0</v>
      </c>
      <c r="Q414" s="31">
        <v>0</v>
      </c>
      <c r="R414" s="31">
        <v>0</v>
      </c>
      <c r="S414" s="31">
        <v>0</v>
      </c>
      <c r="T414" s="31">
        <v>0</v>
      </c>
      <c r="U414" s="31">
        <v>0</v>
      </c>
      <c r="V414" s="31">
        <v>0</v>
      </c>
      <c r="W414" s="31">
        <v>0</v>
      </c>
      <c r="X414" s="31">
        <v>0</v>
      </c>
      <c r="Y414" s="31">
        <v>0</v>
      </c>
      <c r="Z414" s="31">
        <v>0</v>
      </c>
      <c r="AA414" s="31">
        <v>0</v>
      </c>
      <c r="AB414" s="31">
        <v>0</v>
      </c>
      <c r="AC414" s="31">
        <f>ROUND(N414*1.5%,2)</f>
        <v>34385.300000000003</v>
      </c>
      <c r="AD414" s="31">
        <v>0</v>
      </c>
      <c r="AE414" s="31">
        <v>0</v>
      </c>
      <c r="AF414" s="34" t="s">
        <v>274</v>
      </c>
      <c r="AG414" s="34">
        <v>2020</v>
      </c>
      <c r="AH414" s="35">
        <v>2020</v>
      </c>
    </row>
    <row r="415" spans="1:82" ht="61.5" x14ac:dyDescent="0.85">
      <c r="A415" s="20">
        <v>1</v>
      </c>
      <c r="B415" s="66">
        <f>SUBTOTAL(103,$A$22:A415)</f>
        <v>365</v>
      </c>
      <c r="C415" s="24" t="s">
        <v>1671</v>
      </c>
      <c r="D415" s="31">
        <f t="shared" si="142"/>
        <v>1384990</v>
      </c>
      <c r="E415" s="31">
        <v>0</v>
      </c>
      <c r="F415" s="31">
        <v>0</v>
      </c>
      <c r="G415" s="31">
        <v>0</v>
      </c>
      <c r="H415" s="31">
        <v>0</v>
      </c>
      <c r="I415" s="31">
        <v>0</v>
      </c>
      <c r="J415" s="31">
        <v>0</v>
      </c>
      <c r="K415" s="33">
        <v>0</v>
      </c>
      <c r="L415" s="31">
        <v>0</v>
      </c>
      <c r="M415" s="31">
        <v>0</v>
      </c>
      <c r="N415" s="31">
        <v>0</v>
      </c>
      <c r="O415" s="31">
        <v>0</v>
      </c>
      <c r="P415" s="31">
        <v>0</v>
      </c>
      <c r="Q415" s="31">
        <v>0</v>
      </c>
      <c r="R415" s="31">
        <v>0</v>
      </c>
      <c r="S415" s="31">
        <v>0</v>
      </c>
      <c r="T415" s="31">
        <v>0</v>
      </c>
      <c r="U415" s="31">
        <v>1266000</v>
      </c>
      <c r="V415" s="31">
        <v>0</v>
      </c>
      <c r="W415" s="31">
        <v>0</v>
      </c>
      <c r="X415" s="31">
        <v>0</v>
      </c>
      <c r="Y415" s="31">
        <v>0</v>
      </c>
      <c r="Z415" s="31">
        <v>0</v>
      </c>
      <c r="AA415" s="31">
        <v>0</v>
      </c>
      <c r="AB415" s="31">
        <v>0</v>
      </c>
      <c r="AC415" s="31">
        <f>ROUND(U415*1.5%,2)</f>
        <v>18990</v>
      </c>
      <c r="AD415" s="31">
        <v>100000</v>
      </c>
      <c r="AE415" s="31">
        <v>0</v>
      </c>
      <c r="AF415" s="34">
        <v>2020</v>
      </c>
      <c r="AG415" s="34">
        <v>2020</v>
      </c>
      <c r="AH415" s="35">
        <v>2020</v>
      </c>
    </row>
    <row r="416" spans="1:82" ht="61.5" x14ac:dyDescent="0.85">
      <c r="B416" s="24" t="s">
        <v>914</v>
      </c>
      <c r="C416" s="24"/>
      <c r="D416" s="31">
        <f>D417</f>
        <v>3230853.85</v>
      </c>
      <c r="E416" s="31">
        <f t="shared" ref="E416:AE416" si="144">E417</f>
        <v>0</v>
      </c>
      <c r="F416" s="31">
        <f t="shared" si="144"/>
        <v>0</v>
      </c>
      <c r="G416" s="31">
        <f t="shared" si="144"/>
        <v>0</v>
      </c>
      <c r="H416" s="31">
        <f t="shared" si="144"/>
        <v>0</v>
      </c>
      <c r="I416" s="31">
        <f t="shared" si="144"/>
        <v>0</v>
      </c>
      <c r="J416" s="31">
        <f t="shared" si="144"/>
        <v>0</v>
      </c>
      <c r="K416" s="33">
        <f t="shared" si="144"/>
        <v>0</v>
      </c>
      <c r="L416" s="31">
        <f t="shared" si="144"/>
        <v>0</v>
      </c>
      <c r="M416" s="31">
        <f t="shared" si="144"/>
        <v>0</v>
      </c>
      <c r="N416" s="31">
        <f t="shared" si="144"/>
        <v>0</v>
      </c>
      <c r="O416" s="31">
        <f t="shared" si="144"/>
        <v>0</v>
      </c>
      <c r="P416" s="31">
        <f t="shared" si="144"/>
        <v>0</v>
      </c>
      <c r="Q416" s="31">
        <f t="shared" si="144"/>
        <v>702.56</v>
      </c>
      <c r="R416" s="31">
        <f t="shared" si="144"/>
        <v>3183342.46</v>
      </c>
      <c r="S416" s="31">
        <f t="shared" si="144"/>
        <v>0</v>
      </c>
      <c r="T416" s="31">
        <f t="shared" si="144"/>
        <v>0</v>
      </c>
      <c r="U416" s="31">
        <f t="shared" si="144"/>
        <v>0</v>
      </c>
      <c r="V416" s="31">
        <f t="shared" si="144"/>
        <v>0</v>
      </c>
      <c r="W416" s="31">
        <f t="shared" si="144"/>
        <v>0</v>
      </c>
      <c r="X416" s="31">
        <f t="shared" si="144"/>
        <v>0</v>
      </c>
      <c r="Y416" s="31">
        <f t="shared" si="144"/>
        <v>0</v>
      </c>
      <c r="Z416" s="31">
        <f t="shared" si="144"/>
        <v>0</v>
      </c>
      <c r="AA416" s="31">
        <f t="shared" si="144"/>
        <v>0</v>
      </c>
      <c r="AB416" s="31">
        <f t="shared" si="144"/>
        <v>0</v>
      </c>
      <c r="AC416" s="31">
        <f t="shared" si="144"/>
        <v>47511.39</v>
      </c>
      <c r="AD416" s="31">
        <f t="shared" si="144"/>
        <v>0</v>
      </c>
      <c r="AE416" s="31">
        <f t="shared" si="144"/>
        <v>0</v>
      </c>
      <c r="AF416" s="72" t="s">
        <v>794</v>
      </c>
      <c r="AG416" s="72" t="s">
        <v>794</v>
      </c>
      <c r="AH416" s="91" t="s">
        <v>794</v>
      </c>
      <c r="CC416" s="31">
        <v>3334643.9899999998</v>
      </c>
      <c r="CD416" s="31">
        <f>CC416-D416</f>
        <v>103790.13999999966</v>
      </c>
    </row>
    <row r="417" spans="1:46" ht="61.5" x14ac:dyDescent="0.85">
      <c r="A417" s="20">
        <v>1</v>
      </c>
      <c r="B417" s="66">
        <f>SUBTOTAL(103,$A$22:A417)</f>
        <v>366</v>
      </c>
      <c r="C417" s="24" t="s">
        <v>1303</v>
      </c>
      <c r="D417" s="31">
        <f t="shared" ref="D417" si="145">E417+F417+G417+H417+I417+J417+L417+N417+P417+R417+T417+U417+V417+W417+X417+Y417+Z417+AA417+AB417+AC417+AD417+AE417</f>
        <v>3230853.85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3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702.56</v>
      </c>
      <c r="R417" s="31">
        <v>3183342.46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f>ROUND(R417*1.4925%,2)</f>
        <v>47511.39</v>
      </c>
      <c r="AD417" s="31">
        <v>0</v>
      </c>
      <c r="AE417" s="31">
        <v>0</v>
      </c>
      <c r="AF417" s="34" t="s">
        <v>274</v>
      </c>
      <c r="AG417" s="34">
        <v>2020</v>
      </c>
      <c r="AH417" s="35">
        <v>2020</v>
      </c>
    </row>
    <row r="418" spans="1:46" ht="61.5" x14ac:dyDescent="0.85">
      <c r="B418" s="24" t="s">
        <v>881</v>
      </c>
      <c r="C418" s="117"/>
      <c r="D418" s="31">
        <f>SUM(D419:D424)</f>
        <v>22440468.149999999</v>
      </c>
      <c r="E418" s="31">
        <f t="shared" ref="E418:AE418" si="146">SUM(E419:E424)</f>
        <v>625886.11</v>
      </c>
      <c r="F418" s="31">
        <f t="shared" si="146"/>
        <v>840053.29</v>
      </c>
      <c r="G418" s="31">
        <f t="shared" si="146"/>
        <v>2063192.52</v>
      </c>
      <c r="H418" s="31">
        <f t="shared" si="146"/>
        <v>0</v>
      </c>
      <c r="I418" s="31">
        <f t="shared" si="146"/>
        <v>0</v>
      </c>
      <c r="J418" s="31">
        <f t="shared" si="146"/>
        <v>0</v>
      </c>
      <c r="K418" s="33">
        <f t="shared" si="146"/>
        <v>0</v>
      </c>
      <c r="L418" s="31">
        <f t="shared" si="146"/>
        <v>0</v>
      </c>
      <c r="M418" s="31">
        <f t="shared" si="146"/>
        <v>3718</v>
      </c>
      <c r="N418" s="31">
        <f t="shared" si="146"/>
        <v>18075089.379999999</v>
      </c>
      <c r="O418" s="31">
        <f t="shared" si="146"/>
        <v>0</v>
      </c>
      <c r="P418" s="31">
        <f t="shared" si="146"/>
        <v>0</v>
      </c>
      <c r="Q418" s="31">
        <f t="shared" si="146"/>
        <v>0</v>
      </c>
      <c r="R418" s="31">
        <f t="shared" si="146"/>
        <v>0</v>
      </c>
      <c r="S418" s="31">
        <f t="shared" si="146"/>
        <v>0</v>
      </c>
      <c r="T418" s="31">
        <f t="shared" si="146"/>
        <v>0</v>
      </c>
      <c r="U418" s="31">
        <f t="shared" si="146"/>
        <v>0</v>
      </c>
      <c r="V418" s="31">
        <f t="shared" si="146"/>
        <v>0</v>
      </c>
      <c r="W418" s="31">
        <f t="shared" si="146"/>
        <v>0</v>
      </c>
      <c r="X418" s="31">
        <f t="shared" si="146"/>
        <v>0</v>
      </c>
      <c r="Y418" s="31">
        <f t="shared" si="146"/>
        <v>0</v>
      </c>
      <c r="Z418" s="31">
        <f t="shared" si="146"/>
        <v>0</v>
      </c>
      <c r="AA418" s="31">
        <f t="shared" si="146"/>
        <v>0</v>
      </c>
      <c r="AB418" s="31">
        <f t="shared" si="146"/>
        <v>0</v>
      </c>
      <c r="AC418" s="31">
        <f t="shared" si="146"/>
        <v>324063.33000000007</v>
      </c>
      <c r="AD418" s="31">
        <f t="shared" si="146"/>
        <v>512183.52</v>
      </c>
      <c r="AE418" s="31">
        <f t="shared" si="146"/>
        <v>0</v>
      </c>
      <c r="AF418" s="72" t="s">
        <v>794</v>
      </c>
      <c r="AG418" s="72" t="s">
        <v>794</v>
      </c>
      <c r="AH418" s="91" t="s">
        <v>794</v>
      </c>
      <c r="AT418" s="20" t="e">
        <f>VLOOKUP(C418,AW:AX,2,FALSE)</f>
        <v>#N/A</v>
      </c>
    </row>
    <row r="419" spans="1:46" ht="61.5" x14ac:dyDescent="0.85">
      <c r="A419" s="20">
        <v>1</v>
      </c>
      <c r="B419" s="66">
        <f>SUBTOTAL(103,$A$22:A419)</f>
        <v>367</v>
      </c>
      <c r="C419" s="24" t="s">
        <v>75</v>
      </c>
      <c r="D419" s="31">
        <f t="shared" ref="D419:D424" si="147">E419+F419+G419+H419+I419+J419+L419+N419+P419+R419+T419+U419+V419+W419+X419+Y419+Z419+AA419+AB419+AC419+AD419+AE419</f>
        <v>3581561.29</v>
      </c>
      <c r="E419" s="31">
        <v>0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3">
        <v>0</v>
      </c>
      <c r="L419" s="31">
        <v>0</v>
      </c>
      <c r="M419" s="31">
        <v>625</v>
      </c>
      <c r="N419" s="31">
        <f>3256583.9+124268.75-4.09</f>
        <v>3380848.56</v>
      </c>
      <c r="O419" s="31">
        <v>0</v>
      </c>
      <c r="P419" s="31">
        <v>0</v>
      </c>
      <c r="Q419" s="31">
        <v>0</v>
      </c>
      <c r="R419" s="31">
        <v>0</v>
      </c>
      <c r="S419" s="31">
        <v>0</v>
      </c>
      <c r="T419" s="31">
        <v>0</v>
      </c>
      <c r="U419" s="31">
        <v>0</v>
      </c>
      <c r="V419" s="31">
        <v>0</v>
      </c>
      <c r="W419" s="31">
        <v>0</v>
      </c>
      <c r="X419" s="31">
        <v>0</v>
      </c>
      <c r="Y419" s="31">
        <v>0</v>
      </c>
      <c r="Z419" s="31">
        <v>0</v>
      </c>
      <c r="AA419" s="31">
        <v>0</v>
      </c>
      <c r="AB419" s="31">
        <v>0</v>
      </c>
      <c r="AC419" s="31">
        <f t="shared" ref="AC419:AC421" si="148">ROUND(N419*1.5%,2)</f>
        <v>50712.73</v>
      </c>
      <c r="AD419" s="31">
        <v>150000</v>
      </c>
      <c r="AE419" s="31">
        <v>0</v>
      </c>
      <c r="AF419" s="34">
        <v>2020</v>
      </c>
      <c r="AG419" s="34">
        <v>2020</v>
      </c>
      <c r="AH419" s="35">
        <v>2020</v>
      </c>
      <c r="AT419" s="20" t="e">
        <f>VLOOKUP(C419,AW:AX,2,FALSE)</f>
        <v>#N/A</v>
      </c>
    </row>
    <row r="420" spans="1:46" ht="61.5" x14ac:dyDescent="0.85">
      <c r="A420" s="20">
        <v>1</v>
      </c>
      <c r="B420" s="66">
        <f>SUBTOTAL(103,$A$22:A420)</f>
        <v>368</v>
      </c>
      <c r="C420" s="24" t="s">
        <v>74</v>
      </c>
      <c r="D420" s="31">
        <f t="shared" si="147"/>
        <v>3148625.32</v>
      </c>
      <c r="E420" s="31">
        <v>0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3">
        <v>0</v>
      </c>
      <c r="L420" s="31">
        <v>0</v>
      </c>
      <c r="M420" s="31">
        <v>504</v>
      </c>
      <c r="N420" s="31">
        <f>2854100.34+100210.32</f>
        <v>2954310.6599999997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  <c r="V420" s="31">
        <v>0</v>
      </c>
      <c r="W420" s="31">
        <v>0</v>
      </c>
      <c r="X420" s="31">
        <v>0</v>
      </c>
      <c r="Y420" s="31">
        <v>0</v>
      </c>
      <c r="Z420" s="31">
        <v>0</v>
      </c>
      <c r="AA420" s="31">
        <v>0</v>
      </c>
      <c r="AB420" s="31">
        <v>0</v>
      </c>
      <c r="AC420" s="31">
        <f t="shared" si="148"/>
        <v>44314.66</v>
      </c>
      <c r="AD420" s="31">
        <v>150000</v>
      </c>
      <c r="AE420" s="31">
        <v>0</v>
      </c>
      <c r="AF420" s="34">
        <v>2020</v>
      </c>
      <c r="AG420" s="34">
        <v>2020</v>
      </c>
      <c r="AH420" s="35">
        <v>2020</v>
      </c>
      <c r="AT420" s="20" t="e">
        <f>VLOOKUP(C420,AW:AX,2,FALSE)</f>
        <v>#N/A</v>
      </c>
    </row>
    <row r="421" spans="1:46" ht="61.5" x14ac:dyDescent="0.85">
      <c r="A421" s="20">
        <v>1</v>
      </c>
      <c r="B421" s="66">
        <f>SUBTOTAL(103,$A$22:A421)</f>
        <v>369</v>
      </c>
      <c r="C421" s="24" t="s">
        <v>76</v>
      </c>
      <c r="D421" s="31">
        <f t="shared" si="147"/>
        <v>5571953.8200000003</v>
      </c>
      <c r="E421" s="31">
        <v>0</v>
      </c>
      <c r="F421" s="31">
        <v>0</v>
      </c>
      <c r="G421" s="31">
        <v>0</v>
      </c>
      <c r="H421" s="31">
        <v>0</v>
      </c>
      <c r="I421" s="31">
        <v>0</v>
      </c>
      <c r="J421" s="31">
        <v>0</v>
      </c>
      <c r="K421" s="33">
        <v>0</v>
      </c>
      <c r="L421" s="31">
        <v>0</v>
      </c>
      <c r="M421" s="31">
        <v>954</v>
      </c>
      <c r="N421" s="31">
        <f>5152142.6+189683.82</f>
        <v>5341826.42</v>
      </c>
      <c r="O421" s="31">
        <v>0</v>
      </c>
      <c r="P421" s="31">
        <v>0</v>
      </c>
      <c r="Q421" s="31">
        <v>0</v>
      </c>
      <c r="R421" s="31">
        <v>0</v>
      </c>
      <c r="S421" s="31">
        <v>0</v>
      </c>
      <c r="T421" s="31">
        <v>0</v>
      </c>
      <c r="U421" s="31">
        <v>0</v>
      </c>
      <c r="V421" s="31">
        <v>0</v>
      </c>
      <c r="W421" s="31">
        <v>0</v>
      </c>
      <c r="X421" s="31">
        <v>0</v>
      </c>
      <c r="Y421" s="31">
        <v>0</v>
      </c>
      <c r="Z421" s="31">
        <v>0</v>
      </c>
      <c r="AA421" s="31">
        <v>0</v>
      </c>
      <c r="AB421" s="31">
        <v>0</v>
      </c>
      <c r="AC421" s="31">
        <f t="shared" si="148"/>
        <v>80127.399999999994</v>
      </c>
      <c r="AD421" s="31">
        <v>150000</v>
      </c>
      <c r="AE421" s="31">
        <v>0</v>
      </c>
      <c r="AF421" s="34">
        <v>2020</v>
      </c>
      <c r="AG421" s="34">
        <v>2020</v>
      </c>
      <c r="AH421" s="35">
        <v>2020</v>
      </c>
      <c r="AT421" s="20" t="e">
        <f>VLOOKUP(C421,AW:AX,2,FALSE)</f>
        <v>#N/A</v>
      </c>
    </row>
    <row r="422" spans="1:46" ht="61.5" x14ac:dyDescent="0.85">
      <c r="A422" s="20">
        <v>1</v>
      </c>
      <c r="B422" s="66">
        <f>SUBTOTAL(103,$A$22:A422)</f>
        <v>370</v>
      </c>
      <c r="C422" s="24" t="s">
        <v>1304</v>
      </c>
      <c r="D422" s="31">
        <f t="shared" si="147"/>
        <v>3582068.9</v>
      </c>
      <c r="E422" s="31">
        <v>625886.11</v>
      </c>
      <c r="F422" s="31">
        <v>840053.29</v>
      </c>
      <c r="G422" s="31">
        <v>2063192.52</v>
      </c>
      <c r="H422" s="31">
        <v>0</v>
      </c>
      <c r="I422" s="31">
        <v>0</v>
      </c>
      <c r="J422" s="31">
        <v>0</v>
      </c>
      <c r="K422" s="33">
        <v>0</v>
      </c>
      <c r="L422" s="31">
        <v>0</v>
      </c>
      <c r="M422" s="31">
        <v>0</v>
      </c>
      <c r="N422" s="31">
        <v>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1">
        <v>0</v>
      </c>
      <c r="AA422" s="31">
        <v>0</v>
      </c>
      <c r="AB422" s="31">
        <v>0</v>
      </c>
      <c r="AC422" s="31">
        <f t="shared" ref="AC422" si="149">ROUND((E422+F422+G422+H422+I422+J422)*1.5%,2)</f>
        <v>52936.98</v>
      </c>
      <c r="AD422" s="31">
        <v>0</v>
      </c>
      <c r="AE422" s="31">
        <v>0</v>
      </c>
      <c r="AF422" s="34" t="s">
        <v>274</v>
      </c>
      <c r="AG422" s="34">
        <v>2020</v>
      </c>
      <c r="AH422" s="35">
        <v>2020</v>
      </c>
    </row>
    <row r="423" spans="1:46" ht="61.5" x14ac:dyDescent="0.85">
      <c r="A423" s="20">
        <v>1</v>
      </c>
      <c r="B423" s="66">
        <f>SUBTOTAL(103,$A$22:A423)</f>
        <v>371</v>
      </c>
      <c r="C423" s="24" t="s">
        <v>1305</v>
      </c>
      <c r="D423" s="31">
        <f t="shared" si="147"/>
        <v>4162144.7199999997</v>
      </c>
      <c r="E423" s="31">
        <v>0</v>
      </c>
      <c r="F423" s="31">
        <v>0</v>
      </c>
      <c r="G423" s="31">
        <v>0</v>
      </c>
      <c r="H423" s="31">
        <v>0</v>
      </c>
      <c r="I423" s="31">
        <v>0</v>
      </c>
      <c r="J423" s="31">
        <v>0</v>
      </c>
      <c r="K423" s="33">
        <v>0</v>
      </c>
      <c r="L423" s="31">
        <v>0</v>
      </c>
      <c r="M423" s="31">
        <v>1035</v>
      </c>
      <c r="N423" s="31">
        <f>3821158.38+279476.81</f>
        <v>4100635.19</v>
      </c>
      <c r="O423" s="31">
        <v>0</v>
      </c>
      <c r="P423" s="31">
        <v>0</v>
      </c>
      <c r="Q423" s="31">
        <v>0</v>
      </c>
      <c r="R423" s="31">
        <v>0</v>
      </c>
      <c r="S423" s="31">
        <v>0</v>
      </c>
      <c r="T423" s="31">
        <v>0</v>
      </c>
      <c r="U423" s="31">
        <v>0</v>
      </c>
      <c r="V423" s="31">
        <v>0</v>
      </c>
      <c r="W423" s="31">
        <v>0</v>
      </c>
      <c r="X423" s="31">
        <v>0</v>
      </c>
      <c r="Y423" s="31">
        <v>0</v>
      </c>
      <c r="Z423" s="31">
        <v>0</v>
      </c>
      <c r="AA423" s="31">
        <v>0</v>
      </c>
      <c r="AB423" s="31">
        <v>0</v>
      </c>
      <c r="AC423" s="31">
        <f t="shared" ref="AC423:AC424" si="150">ROUND(N423*1.5%,2)</f>
        <v>61509.53</v>
      </c>
      <c r="AD423" s="31">
        <v>0</v>
      </c>
      <c r="AE423" s="31">
        <v>0</v>
      </c>
      <c r="AF423" s="34" t="s">
        <v>274</v>
      </c>
      <c r="AG423" s="34">
        <v>2020</v>
      </c>
      <c r="AH423" s="35">
        <v>2020</v>
      </c>
    </row>
    <row r="424" spans="1:46" ht="61.5" x14ac:dyDescent="0.85">
      <c r="A424" s="20">
        <v>1</v>
      </c>
      <c r="B424" s="66">
        <f>SUBTOTAL(103,$A$22:A424)</f>
        <v>372</v>
      </c>
      <c r="C424" s="24" t="s">
        <v>1306</v>
      </c>
      <c r="D424" s="31">
        <f t="shared" si="147"/>
        <v>2394114.0999999996</v>
      </c>
      <c r="E424" s="31">
        <v>0</v>
      </c>
      <c r="F424" s="31">
        <v>0</v>
      </c>
      <c r="G424" s="31">
        <v>0</v>
      </c>
      <c r="H424" s="31">
        <v>0</v>
      </c>
      <c r="I424" s="31">
        <v>0</v>
      </c>
      <c r="J424" s="31">
        <v>0</v>
      </c>
      <c r="K424" s="33">
        <v>0</v>
      </c>
      <c r="L424" s="31">
        <v>0</v>
      </c>
      <c r="M424" s="31">
        <v>600</v>
      </c>
      <c r="N424" s="31">
        <v>2297468.5499999998</v>
      </c>
      <c r="O424" s="31">
        <v>0</v>
      </c>
      <c r="P424" s="31">
        <v>0</v>
      </c>
      <c r="Q424" s="31">
        <v>0</v>
      </c>
      <c r="R424" s="31">
        <v>0</v>
      </c>
      <c r="S424" s="31">
        <v>0</v>
      </c>
      <c r="T424" s="31">
        <v>0</v>
      </c>
      <c r="U424" s="31">
        <v>0</v>
      </c>
      <c r="V424" s="31">
        <v>0</v>
      </c>
      <c r="W424" s="31">
        <v>0</v>
      </c>
      <c r="X424" s="31">
        <v>0</v>
      </c>
      <c r="Y424" s="31">
        <v>0</v>
      </c>
      <c r="Z424" s="31">
        <v>0</v>
      </c>
      <c r="AA424" s="31">
        <v>0</v>
      </c>
      <c r="AB424" s="31">
        <v>0</v>
      </c>
      <c r="AC424" s="31">
        <f t="shared" si="150"/>
        <v>34462.03</v>
      </c>
      <c r="AD424" s="31">
        <v>62183.519999999997</v>
      </c>
      <c r="AE424" s="31">
        <v>0</v>
      </c>
      <c r="AF424" s="34">
        <v>2020</v>
      </c>
      <c r="AG424" s="34">
        <v>2020</v>
      </c>
      <c r="AH424" s="35">
        <v>2020</v>
      </c>
    </row>
    <row r="425" spans="1:46" ht="61.5" x14ac:dyDescent="0.85">
      <c r="B425" s="24" t="s">
        <v>882</v>
      </c>
      <c r="C425" s="24"/>
      <c r="D425" s="31">
        <f>D426</f>
        <v>3182125.2199999997</v>
      </c>
      <c r="E425" s="31">
        <f t="shared" ref="E425:AE425" si="151">E426</f>
        <v>0</v>
      </c>
      <c r="F425" s="31">
        <f t="shared" si="151"/>
        <v>0</v>
      </c>
      <c r="G425" s="31">
        <f t="shared" si="151"/>
        <v>0</v>
      </c>
      <c r="H425" s="31">
        <f t="shared" si="151"/>
        <v>0</v>
      </c>
      <c r="I425" s="31">
        <f t="shared" si="151"/>
        <v>0</v>
      </c>
      <c r="J425" s="31">
        <f t="shared" si="151"/>
        <v>0</v>
      </c>
      <c r="K425" s="33">
        <f t="shared" si="151"/>
        <v>0</v>
      </c>
      <c r="L425" s="31">
        <f t="shared" si="151"/>
        <v>0</v>
      </c>
      <c r="M425" s="31">
        <f t="shared" si="151"/>
        <v>598</v>
      </c>
      <c r="N425" s="31">
        <f t="shared" si="151"/>
        <v>2987162.5</v>
      </c>
      <c r="O425" s="31">
        <f t="shared" si="151"/>
        <v>0</v>
      </c>
      <c r="P425" s="31">
        <f t="shared" si="151"/>
        <v>0</v>
      </c>
      <c r="Q425" s="31">
        <f t="shared" si="151"/>
        <v>0</v>
      </c>
      <c r="R425" s="31">
        <f t="shared" si="151"/>
        <v>0</v>
      </c>
      <c r="S425" s="31">
        <f t="shared" si="151"/>
        <v>0</v>
      </c>
      <c r="T425" s="31">
        <f t="shared" si="151"/>
        <v>0</v>
      </c>
      <c r="U425" s="31">
        <f t="shared" si="151"/>
        <v>0</v>
      </c>
      <c r="V425" s="31">
        <f t="shared" si="151"/>
        <v>0</v>
      </c>
      <c r="W425" s="31">
        <f t="shared" si="151"/>
        <v>0</v>
      </c>
      <c r="X425" s="31">
        <f t="shared" si="151"/>
        <v>0</v>
      </c>
      <c r="Y425" s="31">
        <f t="shared" si="151"/>
        <v>0</v>
      </c>
      <c r="Z425" s="31">
        <f t="shared" si="151"/>
        <v>0</v>
      </c>
      <c r="AA425" s="31">
        <f t="shared" si="151"/>
        <v>0</v>
      </c>
      <c r="AB425" s="31">
        <f t="shared" si="151"/>
        <v>0</v>
      </c>
      <c r="AC425" s="31">
        <f t="shared" si="151"/>
        <v>44807.44</v>
      </c>
      <c r="AD425" s="31">
        <f t="shared" si="151"/>
        <v>150155.28</v>
      </c>
      <c r="AE425" s="31">
        <f t="shared" si="151"/>
        <v>0</v>
      </c>
      <c r="AF425" s="72" t="s">
        <v>794</v>
      </c>
      <c r="AG425" s="72" t="s">
        <v>794</v>
      </c>
      <c r="AH425" s="91" t="s">
        <v>794</v>
      </c>
      <c r="AT425" s="20" t="e">
        <f>VLOOKUP(C425,AW:AX,2,FALSE)</f>
        <v>#N/A</v>
      </c>
    </row>
    <row r="426" spans="1:46" ht="61.5" x14ac:dyDescent="0.85">
      <c r="A426" s="20">
        <v>1</v>
      </c>
      <c r="B426" s="66">
        <f>SUBTOTAL(103,$A$22:A426)</f>
        <v>373</v>
      </c>
      <c r="C426" s="24" t="s">
        <v>77</v>
      </c>
      <c r="D426" s="31">
        <f t="shared" ref="D426" si="152">E426+F426+G426+H426+I426+J426+L426+N426+P426+R426+T426+U426+V426+W426+X426+Y426+Z426+AA426+AB426+AC426+AD426+AE426</f>
        <v>3182125.2199999997</v>
      </c>
      <c r="E426" s="31">
        <v>0</v>
      </c>
      <c r="F426" s="31">
        <v>0</v>
      </c>
      <c r="G426" s="31">
        <v>0</v>
      </c>
      <c r="H426" s="31">
        <v>0</v>
      </c>
      <c r="I426" s="31">
        <v>0</v>
      </c>
      <c r="J426" s="31">
        <v>0</v>
      </c>
      <c r="K426" s="33">
        <v>0</v>
      </c>
      <c r="L426" s="31">
        <v>0</v>
      </c>
      <c r="M426" s="31">
        <v>598</v>
      </c>
      <c r="N426" s="31">
        <f>2882285.69+104876.81</f>
        <v>2987162.5</v>
      </c>
      <c r="O426" s="31">
        <v>0</v>
      </c>
      <c r="P426" s="31">
        <v>0</v>
      </c>
      <c r="Q426" s="31">
        <v>0</v>
      </c>
      <c r="R426" s="31">
        <v>0</v>
      </c>
      <c r="S426" s="31">
        <v>0</v>
      </c>
      <c r="T426" s="31">
        <v>0</v>
      </c>
      <c r="U426" s="31">
        <v>0</v>
      </c>
      <c r="V426" s="31">
        <v>0</v>
      </c>
      <c r="W426" s="31">
        <v>0</v>
      </c>
      <c r="X426" s="31">
        <v>0</v>
      </c>
      <c r="Y426" s="31">
        <v>0</v>
      </c>
      <c r="Z426" s="31">
        <v>0</v>
      </c>
      <c r="AA426" s="31">
        <v>0</v>
      </c>
      <c r="AB426" s="31">
        <v>0</v>
      </c>
      <c r="AC426" s="31">
        <f>ROUND(N426*1.5%,2)</f>
        <v>44807.44</v>
      </c>
      <c r="AD426" s="31">
        <f>150000+155.28</f>
        <v>150155.28</v>
      </c>
      <c r="AE426" s="31">
        <v>0</v>
      </c>
      <c r="AF426" s="34">
        <v>2020</v>
      </c>
      <c r="AG426" s="34">
        <v>2020</v>
      </c>
      <c r="AH426" s="35">
        <v>2020</v>
      </c>
      <c r="AT426" s="20" t="e">
        <f>VLOOKUP(C426,AW:AX,2,FALSE)</f>
        <v>#N/A</v>
      </c>
    </row>
    <row r="427" spans="1:46" ht="61.5" x14ac:dyDescent="0.85">
      <c r="B427" s="24" t="s">
        <v>915</v>
      </c>
      <c r="C427" s="24"/>
      <c r="D427" s="31">
        <f>D428</f>
        <v>522383.64</v>
      </c>
      <c r="E427" s="31">
        <f t="shared" ref="E427:AE427" si="153">E428</f>
        <v>0</v>
      </c>
      <c r="F427" s="31">
        <f t="shared" si="153"/>
        <v>0</v>
      </c>
      <c r="G427" s="31">
        <f t="shared" si="153"/>
        <v>0</v>
      </c>
      <c r="H427" s="31">
        <f t="shared" si="153"/>
        <v>514663.67999999999</v>
      </c>
      <c r="I427" s="31">
        <f t="shared" si="153"/>
        <v>0</v>
      </c>
      <c r="J427" s="31">
        <f t="shared" si="153"/>
        <v>0</v>
      </c>
      <c r="K427" s="33">
        <f t="shared" si="153"/>
        <v>0</v>
      </c>
      <c r="L427" s="31">
        <f t="shared" si="153"/>
        <v>0</v>
      </c>
      <c r="M427" s="31">
        <f t="shared" si="153"/>
        <v>0</v>
      </c>
      <c r="N427" s="31">
        <f t="shared" si="153"/>
        <v>0</v>
      </c>
      <c r="O427" s="31">
        <f t="shared" si="153"/>
        <v>0</v>
      </c>
      <c r="P427" s="31">
        <f t="shared" si="153"/>
        <v>0</v>
      </c>
      <c r="Q427" s="31">
        <f t="shared" si="153"/>
        <v>0</v>
      </c>
      <c r="R427" s="31">
        <f t="shared" si="153"/>
        <v>0</v>
      </c>
      <c r="S427" s="31">
        <f t="shared" si="153"/>
        <v>0</v>
      </c>
      <c r="T427" s="31">
        <f t="shared" si="153"/>
        <v>0</v>
      </c>
      <c r="U427" s="31">
        <f t="shared" si="153"/>
        <v>0</v>
      </c>
      <c r="V427" s="31">
        <f t="shared" si="153"/>
        <v>0</v>
      </c>
      <c r="W427" s="31">
        <f t="shared" si="153"/>
        <v>0</v>
      </c>
      <c r="X427" s="31">
        <f t="shared" si="153"/>
        <v>0</v>
      </c>
      <c r="Y427" s="31">
        <f t="shared" si="153"/>
        <v>0</v>
      </c>
      <c r="Z427" s="31">
        <f t="shared" si="153"/>
        <v>0</v>
      </c>
      <c r="AA427" s="31">
        <f t="shared" si="153"/>
        <v>0</v>
      </c>
      <c r="AB427" s="31">
        <f t="shared" si="153"/>
        <v>0</v>
      </c>
      <c r="AC427" s="31">
        <f t="shared" si="153"/>
        <v>7719.96</v>
      </c>
      <c r="AD427" s="31">
        <f t="shared" si="153"/>
        <v>0</v>
      </c>
      <c r="AE427" s="31">
        <f t="shared" si="153"/>
        <v>0</v>
      </c>
      <c r="AF427" s="72" t="s">
        <v>794</v>
      </c>
      <c r="AG427" s="72" t="s">
        <v>794</v>
      </c>
      <c r="AH427" s="91" t="s">
        <v>794</v>
      </c>
    </row>
    <row r="428" spans="1:46" ht="61.5" x14ac:dyDescent="0.85">
      <c r="A428" s="20">
        <v>1</v>
      </c>
      <c r="B428" s="66">
        <f>SUBTOTAL(103,$A$22:A428)</f>
        <v>374</v>
      </c>
      <c r="C428" s="24" t="s">
        <v>1307</v>
      </c>
      <c r="D428" s="31">
        <f t="shared" ref="D428" si="154">E428+F428+G428+H428+I428+J428+L428+N428+P428+R428+T428+U428+V428+W428+X428+Y428+Z428+AA428+AB428+AC428+AD428+AE428</f>
        <v>522383.64</v>
      </c>
      <c r="E428" s="31">
        <v>0</v>
      </c>
      <c r="F428" s="31">
        <v>0</v>
      </c>
      <c r="G428" s="31">
        <v>0</v>
      </c>
      <c r="H428" s="31">
        <v>514663.67999999999</v>
      </c>
      <c r="I428" s="31">
        <v>0</v>
      </c>
      <c r="J428" s="31">
        <v>0</v>
      </c>
      <c r="K428" s="33">
        <v>0</v>
      </c>
      <c r="L428" s="31">
        <v>0</v>
      </c>
      <c r="M428" s="31">
        <v>0</v>
      </c>
      <c r="N428" s="31">
        <v>0</v>
      </c>
      <c r="O428" s="31">
        <v>0</v>
      </c>
      <c r="P428" s="31">
        <v>0</v>
      </c>
      <c r="Q428" s="31">
        <v>0</v>
      </c>
      <c r="R428" s="31">
        <v>0</v>
      </c>
      <c r="S428" s="31">
        <v>0</v>
      </c>
      <c r="T428" s="31">
        <v>0</v>
      </c>
      <c r="U428" s="31">
        <v>0</v>
      </c>
      <c r="V428" s="31">
        <v>0</v>
      </c>
      <c r="W428" s="31">
        <v>0</v>
      </c>
      <c r="X428" s="31">
        <v>0</v>
      </c>
      <c r="Y428" s="31">
        <v>0</v>
      </c>
      <c r="Z428" s="31">
        <v>0</v>
      </c>
      <c r="AA428" s="31">
        <v>0</v>
      </c>
      <c r="AB428" s="31">
        <v>0</v>
      </c>
      <c r="AC428" s="31">
        <f>ROUND((E428+F428+G428+H428+I428+J428)*1.5%,2)</f>
        <v>7719.96</v>
      </c>
      <c r="AD428" s="31">
        <v>0</v>
      </c>
      <c r="AE428" s="31">
        <v>0</v>
      </c>
      <c r="AF428" s="34" t="s">
        <v>274</v>
      </c>
      <c r="AG428" s="34">
        <v>2020</v>
      </c>
      <c r="AH428" s="35">
        <v>2020</v>
      </c>
    </row>
    <row r="429" spans="1:46" ht="61.5" x14ac:dyDescent="0.85">
      <c r="B429" s="24" t="s">
        <v>883</v>
      </c>
      <c r="C429" s="117"/>
      <c r="D429" s="31">
        <f t="shared" ref="D429:AE429" si="155">SUM(D430:D434)</f>
        <v>18514841.960000001</v>
      </c>
      <c r="E429" s="31">
        <f t="shared" si="155"/>
        <v>0</v>
      </c>
      <c r="F429" s="31">
        <f t="shared" si="155"/>
        <v>0</v>
      </c>
      <c r="G429" s="31">
        <f t="shared" si="155"/>
        <v>0</v>
      </c>
      <c r="H429" s="31">
        <f t="shared" si="155"/>
        <v>0</v>
      </c>
      <c r="I429" s="31">
        <f t="shared" si="155"/>
        <v>0</v>
      </c>
      <c r="J429" s="31">
        <f t="shared" si="155"/>
        <v>0</v>
      </c>
      <c r="K429" s="33">
        <f t="shared" si="155"/>
        <v>0</v>
      </c>
      <c r="L429" s="31">
        <f t="shared" si="155"/>
        <v>0</v>
      </c>
      <c r="M429" s="31">
        <f t="shared" si="155"/>
        <v>2796.4</v>
      </c>
      <c r="N429" s="31">
        <f t="shared" si="155"/>
        <v>12426985.93</v>
      </c>
      <c r="O429" s="31">
        <f t="shared" si="155"/>
        <v>0</v>
      </c>
      <c r="P429" s="31">
        <f t="shared" si="155"/>
        <v>0</v>
      </c>
      <c r="Q429" s="31">
        <f t="shared" si="155"/>
        <v>0</v>
      </c>
      <c r="R429" s="31">
        <f t="shared" si="155"/>
        <v>0</v>
      </c>
      <c r="S429" s="31">
        <f t="shared" si="155"/>
        <v>0</v>
      </c>
      <c r="T429" s="31">
        <f t="shared" si="155"/>
        <v>0</v>
      </c>
      <c r="U429" s="31">
        <f t="shared" si="155"/>
        <v>5592675.6699999999</v>
      </c>
      <c r="V429" s="31">
        <f t="shared" si="155"/>
        <v>0</v>
      </c>
      <c r="W429" s="31">
        <f t="shared" si="155"/>
        <v>0</v>
      </c>
      <c r="X429" s="31">
        <f t="shared" si="155"/>
        <v>0</v>
      </c>
      <c r="Y429" s="31">
        <f t="shared" si="155"/>
        <v>0</v>
      </c>
      <c r="Z429" s="31">
        <f t="shared" si="155"/>
        <v>0</v>
      </c>
      <c r="AA429" s="31">
        <f t="shared" si="155"/>
        <v>0</v>
      </c>
      <c r="AB429" s="31">
        <f t="shared" si="155"/>
        <v>0</v>
      </c>
      <c r="AC429" s="31">
        <f t="shared" si="155"/>
        <v>270294.92</v>
      </c>
      <c r="AD429" s="31">
        <f t="shared" si="155"/>
        <v>104885.44</v>
      </c>
      <c r="AE429" s="31">
        <f t="shared" si="155"/>
        <v>120000</v>
      </c>
      <c r="AF429" s="72" t="s">
        <v>794</v>
      </c>
      <c r="AG429" s="72" t="s">
        <v>794</v>
      </c>
      <c r="AH429" s="91" t="s">
        <v>794</v>
      </c>
      <c r="AT429" s="20" t="e">
        <f>VLOOKUP(C429,AW:AX,2,FALSE)</f>
        <v>#N/A</v>
      </c>
    </row>
    <row r="430" spans="1:46" ht="61.5" x14ac:dyDescent="0.85">
      <c r="A430" s="20">
        <v>1</v>
      </c>
      <c r="B430" s="66">
        <f>SUBTOTAL(103,$A$22:A430)</f>
        <v>375</v>
      </c>
      <c r="C430" s="24" t="s">
        <v>108</v>
      </c>
      <c r="D430" s="31">
        <f t="shared" ref="D430:D434" si="156">E430+F430+G430+H430+I430+J430+L430+N430+P430+R430+T430+U430+V430+W430+X430+Y430+Z430+AA430+AB430+AC430+AD430+AE430</f>
        <v>2621954.33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3">
        <v>0</v>
      </c>
      <c r="L430" s="31">
        <v>0</v>
      </c>
      <c r="M430" s="31">
        <v>596.4</v>
      </c>
      <c r="N430" s="31">
        <f>2451835.25+131371</f>
        <v>2583206.25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v>0</v>
      </c>
      <c r="Y430" s="31">
        <v>0</v>
      </c>
      <c r="Z430" s="31">
        <v>0</v>
      </c>
      <c r="AA430" s="31">
        <v>0</v>
      </c>
      <c r="AB430" s="31">
        <v>0</v>
      </c>
      <c r="AC430" s="31">
        <f>ROUND(N430*1.5%,2)-0.01</f>
        <v>38748.079999999994</v>
      </c>
      <c r="AD430" s="31">
        <v>0</v>
      </c>
      <c r="AE430" s="31">
        <v>0</v>
      </c>
      <c r="AF430" s="34" t="s">
        <v>274</v>
      </c>
      <c r="AG430" s="34">
        <v>2020</v>
      </c>
      <c r="AH430" s="35">
        <v>2020</v>
      </c>
      <c r="AT430" s="20" t="e">
        <f>VLOOKUP(C430,AW:AX,2,FALSE)</f>
        <v>#N/A</v>
      </c>
    </row>
    <row r="431" spans="1:46" ht="61.5" x14ac:dyDescent="0.85">
      <c r="A431" s="20">
        <v>1</v>
      </c>
      <c r="B431" s="66">
        <f>SUBTOTAL(103,$A$22:A431)</f>
        <v>376</v>
      </c>
      <c r="C431" s="24" t="s">
        <v>110</v>
      </c>
      <c r="D431" s="31">
        <f t="shared" si="156"/>
        <v>5119245.6399999997</v>
      </c>
      <c r="E431" s="31">
        <v>0</v>
      </c>
      <c r="F431" s="31">
        <v>0</v>
      </c>
      <c r="G431" s="31">
        <v>0</v>
      </c>
      <c r="H431" s="31">
        <v>0</v>
      </c>
      <c r="I431" s="31">
        <v>0</v>
      </c>
      <c r="J431" s="31">
        <v>0</v>
      </c>
      <c r="K431" s="33">
        <v>0</v>
      </c>
      <c r="L431" s="31">
        <v>0</v>
      </c>
      <c r="M431" s="31">
        <v>989</v>
      </c>
      <c r="N431" s="31">
        <v>4940256.3499999996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  <c r="AC431" s="31">
        <f t="shared" ref="AC431:AC432" si="157">ROUND(N431*1.5%,2)</f>
        <v>74103.850000000006</v>
      </c>
      <c r="AD431" s="31">
        <v>104885.44</v>
      </c>
      <c r="AE431" s="31">
        <v>0</v>
      </c>
      <c r="AF431" s="34">
        <v>2020</v>
      </c>
      <c r="AG431" s="34">
        <v>2020</v>
      </c>
      <c r="AH431" s="35">
        <v>2020</v>
      </c>
      <c r="AT431" s="20" t="e">
        <f>VLOOKUP(C431,AW:AX,2,FALSE)</f>
        <v>#N/A</v>
      </c>
    </row>
    <row r="432" spans="1:46" ht="61.5" x14ac:dyDescent="0.85">
      <c r="A432" s="20">
        <v>1</v>
      </c>
      <c r="B432" s="66">
        <f>SUBTOTAL(103,$A$22:A432)</f>
        <v>377</v>
      </c>
      <c r="C432" s="24" t="s">
        <v>1308</v>
      </c>
      <c r="D432" s="31">
        <f t="shared" si="156"/>
        <v>3913623.54</v>
      </c>
      <c r="E432" s="31">
        <v>0</v>
      </c>
      <c r="F432" s="31">
        <v>0</v>
      </c>
      <c r="G432" s="31">
        <v>0</v>
      </c>
      <c r="H432" s="31">
        <v>0</v>
      </c>
      <c r="I432" s="31">
        <v>0</v>
      </c>
      <c r="J432" s="31">
        <v>0</v>
      </c>
      <c r="K432" s="33">
        <v>0</v>
      </c>
      <c r="L432" s="31">
        <v>0</v>
      </c>
      <c r="M432" s="31">
        <v>876</v>
      </c>
      <c r="N432" s="31">
        <v>3855786.74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1">
        <v>0</v>
      </c>
      <c r="AA432" s="31">
        <v>0</v>
      </c>
      <c r="AB432" s="31">
        <v>0</v>
      </c>
      <c r="AC432" s="31">
        <f t="shared" si="157"/>
        <v>57836.800000000003</v>
      </c>
      <c r="AD432" s="31">
        <v>0</v>
      </c>
      <c r="AE432" s="31">
        <v>0</v>
      </c>
      <c r="AF432" s="34" t="s">
        <v>274</v>
      </c>
      <c r="AG432" s="34">
        <v>2020</v>
      </c>
      <c r="AH432" s="35">
        <v>2020</v>
      </c>
    </row>
    <row r="433" spans="1:46" ht="61.5" x14ac:dyDescent="0.85">
      <c r="A433" s="20">
        <v>1</v>
      </c>
      <c r="B433" s="66">
        <f>SUBTOTAL(103,$A$22:A433)</f>
        <v>378</v>
      </c>
      <c r="C433" s="24" t="s">
        <v>1309</v>
      </c>
      <c r="D433" s="31">
        <f t="shared" si="156"/>
        <v>5676565.8099999996</v>
      </c>
      <c r="E433" s="31">
        <v>0</v>
      </c>
      <c r="F433" s="31">
        <v>0</v>
      </c>
      <c r="G433" s="31">
        <v>0</v>
      </c>
      <c r="H433" s="31">
        <v>0</v>
      </c>
      <c r="I433" s="31">
        <v>0</v>
      </c>
      <c r="J433" s="31">
        <v>0</v>
      </c>
      <c r="K433" s="33">
        <v>0</v>
      </c>
      <c r="L433" s="31">
        <v>0</v>
      </c>
      <c r="M433" s="31">
        <v>0</v>
      </c>
      <c r="N433" s="31">
        <v>0</v>
      </c>
      <c r="O433" s="31">
        <v>0</v>
      </c>
      <c r="P433" s="31">
        <v>0</v>
      </c>
      <c r="Q433" s="31">
        <v>0</v>
      </c>
      <c r="R433" s="31">
        <v>0</v>
      </c>
      <c r="S433" s="31">
        <v>0</v>
      </c>
      <c r="T433" s="31">
        <v>0</v>
      </c>
      <c r="U433" s="31">
        <f>5582000+10675.67</f>
        <v>5592675.6699999999</v>
      </c>
      <c r="V433" s="31">
        <v>0</v>
      </c>
      <c r="W433" s="31">
        <v>0</v>
      </c>
      <c r="X433" s="31">
        <v>0</v>
      </c>
      <c r="Y433" s="31">
        <v>0</v>
      </c>
      <c r="Z433" s="31">
        <v>0</v>
      </c>
      <c r="AA433" s="31">
        <v>0</v>
      </c>
      <c r="AB433" s="31">
        <v>0</v>
      </c>
      <c r="AC433" s="31">
        <f>ROUND(U433*1.5%,2)</f>
        <v>83890.14</v>
      </c>
      <c r="AD433" s="31">
        <v>0</v>
      </c>
      <c r="AE433" s="31">
        <v>0</v>
      </c>
      <c r="AF433" s="34" t="s">
        <v>274</v>
      </c>
      <c r="AG433" s="34">
        <v>2020</v>
      </c>
      <c r="AH433" s="35">
        <v>2020</v>
      </c>
    </row>
    <row r="434" spans="1:46" ht="61.5" x14ac:dyDescent="0.85">
      <c r="A434" s="20">
        <v>1</v>
      </c>
      <c r="B434" s="66">
        <f>SUBTOTAL(103,$A$22:A434)</f>
        <v>379</v>
      </c>
      <c r="C434" s="24" t="s">
        <v>1310</v>
      </c>
      <c r="D434" s="31">
        <f t="shared" si="156"/>
        <v>1183452.6399999999</v>
      </c>
      <c r="E434" s="31">
        <v>0</v>
      </c>
      <c r="F434" s="31">
        <v>0</v>
      </c>
      <c r="G434" s="31">
        <v>0</v>
      </c>
      <c r="H434" s="31">
        <v>0</v>
      </c>
      <c r="I434" s="31">
        <v>0</v>
      </c>
      <c r="J434" s="31">
        <v>0</v>
      </c>
      <c r="K434" s="33">
        <v>0</v>
      </c>
      <c r="L434" s="31">
        <v>0</v>
      </c>
      <c r="M434" s="31">
        <v>335</v>
      </c>
      <c r="N434" s="31">
        <f>994964.85+52771.74</f>
        <v>1047736.59</v>
      </c>
      <c r="O434" s="31">
        <v>0</v>
      </c>
      <c r="P434" s="31">
        <v>0</v>
      </c>
      <c r="Q434" s="31">
        <v>0</v>
      </c>
      <c r="R434" s="31">
        <v>0</v>
      </c>
      <c r="S434" s="31">
        <v>0</v>
      </c>
      <c r="T434" s="31">
        <v>0</v>
      </c>
      <c r="U434" s="31">
        <v>0</v>
      </c>
      <c r="V434" s="31">
        <v>0</v>
      </c>
      <c r="W434" s="31">
        <v>0</v>
      </c>
      <c r="X434" s="31">
        <v>0</v>
      </c>
      <c r="Y434" s="31">
        <v>0</v>
      </c>
      <c r="Z434" s="31">
        <v>0</v>
      </c>
      <c r="AA434" s="31">
        <v>0</v>
      </c>
      <c r="AB434" s="31">
        <v>0</v>
      </c>
      <c r="AC434" s="31">
        <f>ROUND(N434*1.5%,2)</f>
        <v>15716.05</v>
      </c>
      <c r="AD434" s="31">
        <v>0</v>
      </c>
      <c r="AE434" s="31">
        <v>120000</v>
      </c>
      <c r="AF434" s="34" t="s">
        <v>274</v>
      </c>
      <c r="AG434" s="34">
        <v>2020</v>
      </c>
      <c r="AH434" s="35">
        <v>2020</v>
      </c>
    </row>
    <row r="435" spans="1:46" ht="61.5" x14ac:dyDescent="0.85">
      <c r="B435" s="24" t="s">
        <v>884</v>
      </c>
      <c r="C435" s="117"/>
      <c r="D435" s="31">
        <f>D436</f>
        <v>5141890.2</v>
      </c>
      <c r="E435" s="31">
        <f t="shared" ref="E435:AE435" si="158">E436</f>
        <v>0</v>
      </c>
      <c r="F435" s="31">
        <f t="shared" si="158"/>
        <v>0</v>
      </c>
      <c r="G435" s="31">
        <f t="shared" si="158"/>
        <v>0</v>
      </c>
      <c r="H435" s="31">
        <f t="shared" si="158"/>
        <v>0</v>
      </c>
      <c r="I435" s="31">
        <f t="shared" si="158"/>
        <v>0</v>
      </c>
      <c r="J435" s="31">
        <f t="shared" si="158"/>
        <v>0</v>
      </c>
      <c r="K435" s="33">
        <f t="shared" si="158"/>
        <v>0</v>
      </c>
      <c r="L435" s="31">
        <f t="shared" si="158"/>
        <v>0</v>
      </c>
      <c r="M435" s="31">
        <f t="shared" si="158"/>
        <v>1110</v>
      </c>
      <c r="N435" s="31">
        <f t="shared" si="158"/>
        <v>4880680</v>
      </c>
      <c r="O435" s="31">
        <f t="shared" si="158"/>
        <v>0</v>
      </c>
      <c r="P435" s="31">
        <f t="shared" si="158"/>
        <v>0</v>
      </c>
      <c r="Q435" s="31">
        <f t="shared" si="158"/>
        <v>0</v>
      </c>
      <c r="R435" s="31">
        <f t="shared" si="158"/>
        <v>0</v>
      </c>
      <c r="S435" s="31">
        <f t="shared" si="158"/>
        <v>0</v>
      </c>
      <c r="T435" s="31">
        <f t="shared" si="158"/>
        <v>0</v>
      </c>
      <c r="U435" s="31">
        <f t="shared" si="158"/>
        <v>0</v>
      </c>
      <c r="V435" s="31">
        <f t="shared" si="158"/>
        <v>0</v>
      </c>
      <c r="W435" s="31">
        <f t="shared" si="158"/>
        <v>0</v>
      </c>
      <c r="X435" s="31">
        <f t="shared" si="158"/>
        <v>0</v>
      </c>
      <c r="Y435" s="31">
        <f t="shared" si="158"/>
        <v>0</v>
      </c>
      <c r="Z435" s="31">
        <f t="shared" si="158"/>
        <v>0</v>
      </c>
      <c r="AA435" s="31">
        <f t="shared" si="158"/>
        <v>0</v>
      </c>
      <c r="AB435" s="31">
        <f t="shared" si="158"/>
        <v>0</v>
      </c>
      <c r="AC435" s="31">
        <f t="shared" si="158"/>
        <v>73210.2</v>
      </c>
      <c r="AD435" s="31">
        <f t="shared" si="158"/>
        <v>188000</v>
      </c>
      <c r="AE435" s="31">
        <f t="shared" si="158"/>
        <v>0</v>
      </c>
      <c r="AF435" s="72" t="s">
        <v>794</v>
      </c>
      <c r="AG435" s="72" t="s">
        <v>794</v>
      </c>
      <c r="AH435" s="91" t="s">
        <v>794</v>
      </c>
      <c r="AT435" s="20" t="e">
        <f>VLOOKUP(C435,AW:AX,2,FALSE)</f>
        <v>#N/A</v>
      </c>
    </row>
    <row r="436" spans="1:46" ht="61.5" x14ac:dyDescent="0.85">
      <c r="A436" s="20">
        <v>1</v>
      </c>
      <c r="B436" s="66">
        <f>SUBTOTAL(103,$A$22:A436)</f>
        <v>380</v>
      </c>
      <c r="C436" s="24" t="s">
        <v>40</v>
      </c>
      <c r="D436" s="31">
        <f t="shared" ref="D436" si="159">E436+F436+G436+H436+I436+J436+L436+N436+P436+R436+T436+U436+V436+W436+X436+Y436+Z436+AA436+AB436+AC436+AD436+AE436</f>
        <v>5141890.2</v>
      </c>
      <c r="E436" s="31">
        <v>0</v>
      </c>
      <c r="F436" s="31">
        <v>0</v>
      </c>
      <c r="G436" s="31">
        <v>0</v>
      </c>
      <c r="H436" s="31">
        <v>0</v>
      </c>
      <c r="I436" s="31">
        <v>0</v>
      </c>
      <c r="J436" s="31">
        <v>0</v>
      </c>
      <c r="K436" s="33">
        <v>0</v>
      </c>
      <c r="L436" s="31">
        <v>0</v>
      </c>
      <c r="M436" s="31">
        <v>1110</v>
      </c>
      <c r="N436" s="31">
        <f>4569884.04-985.22+311781.18</f>
        <v>4880680</v>
      </c>
      <c r="O436" s="31">
        <v>0</v>
      </c>
      <c r="P436" s="31">
        <v>0</v>
      </c>
      <c r="Q436" s="31">
        <v>0</v>
      </c>
      <c r="R436" s="31">
        <v>0</v>
      </c>
      <c r="S436" s="31">
        <v>0</v>
      </c>
      <c r="T436" s="31">
        <v>0</v>
      </c>
      <c r="U436" s="31">
        <v>0</v>
      </c>
      <c r="V436" s="31">
        <v>0</v>
      </c>
      <c r="W436" s="31">
        <v>0</v>
      </c>
      <c r="X436" s="31">
        <v>0</v>
      </c>
      <c r="Y436" s="31">
        <v>0</v>
      </c>
      <c r="Z436" s="31">
        <v>0</v>
      </c>
      <c r="AA436" s="31">
        <v>0</v>
      </c>
      <c r="AB436" s="31">
        <v>0</v>
      </c>
      <c r="AC436" s="31">
        <f>ROUND(N436*1.5%,2)</f>
        <v>73210.2</v>
      </c>
      <c r="AD436" s="31">
        <v>188000</v>
      </c>
      <c r="AE436" s="31">
        <v>0</v>
      </c>
      <c r="AF436" s="34">
        <v>2020</v>
      </c>
      <c r="AG436" s="34">
        <v>2020</v>
      </c>
      <c r="AH436" s="35">
        <v>2020</v>
      </c>
      <c r="AT436" s="20" t="e">
        <f>VLOOKUP(C436,AW:AX,2,FALSE)</f>
        <v>#N/A</v>
      </c>
    </row>
    <row r="437" spans="1:46" ht="61.5" x14ac:dyDescent="0.85">
      <c r="B437" s="24" t="s">
        <v>885</v>
      </c>
      <c r="C437" s="24"/>
      <c r="D437" s="31">
        <f>D438+D439+D440+D441</f>
        <v>21864677.539999999</v>
      </c>
      <c r="E437" s="31">
        <f t="shared" ref="E437:AE437" si="160">E438+E439+E440+E441</f>
        <v>561649.39</v>
      </c>
      <c r="F437" s="31">
        <f t="shared" si="160"/>
        <v>492637.49</v>
      </c>
      <c r="G437" s="31">
        <f t="shared" si="160"/>
        <v>2246215.7799999998</v>
      </c>
      <c r="H437" s="31">
        <f t="shared" si="160"/>
        <v>432886.63</v>
      </c>
      <c r="I437" s="31">
        <f t="shared" si="160"/>
        <v>0</v>
      </c>
      <c r="J437" s="31">
        <f t="shared" si="160"/>
        <v>0</v>
      </c>
      <c r="K437" s="33">
        <f t="shared" si="160"/>
        <v>0</v>
      </c>
      <c r="L437" s="31">
        <f t="shared" si="160"/>
        <v>0</v>
      </c>
      <c r="M437" s="31">
        <f t="shared" si="160"/>
        <v>4112</v>
      </c>
      <c r="N437" s="31">
        <f t="shared" si="160"/>
        <v>17512336.829999998</v>
      </c>
      <c r="O437" s="31">
        <f t="shared" si="160"/>
        <v>0</v>
      </c>
      <c r="P437" s="31">
        <f t="shared" si="160"/>
        <v>0</v>
      </c>
      <c r="Q437" s="31">
        <f t="shared" si="160"/>
        <v>0</v>
      </c>
      <c r="R437" s="31">
        <f t="shared" si="160"/>
        <v>0</v>
      </c>
      <c r="S437" s="31">
        <f t="shared" si="160"/>
        <v>0</v>
      </c>
      <c r="T437" s="31">
        <f t="shared" si="160"/>
        <v>0</v>
      </c>
      <c r="U437" s="31">
        <f t="shared" si="160"/>
        <v>0</v>
      </c>
      <c r="V437" s="31">
        <f t="shared" si="160"/>
        <v>0</v>
      </c>
      <c r="W437" s="31">
        <f t="shared" si="160"/>
        <v>0</v>
      </c>
      <c r="X437" s="31">
        <f t="shared" si="160"/>
        <v>0</v>
      </c>
      <c r="Y437" s="31">
        <f t="shared" si="160"/>
        <v>0</v>
      </c>
      <c r="Z437" s="31">
        <f t="shared" si="160"/>
        <v>0</v>
      </c>
      <c r="AA437" s="31">
        <f t="shared" si="160"/>
        <v>0</v>
      </c>
      <c r="AB437" s="31">
        <f t="shared" si="160"/>
        <v>0</v>
      </c>
      <c r="AC437" s="31">
        <f t="shared" si="160"/>
        <v>258951.41999999998</v>
      </c>
      <c r="AD437" s="31">
        <f t="shared" si="160"/>
        <v>360000</v>
      </c>
      <c r="AE437" s="31">
        <f t="shared" si="160"/>
        <v>0</v>
      </c>
      <c r="AF437" s="72" t="s">
        <v>794</v>
      </c>
      <c r="AG437" s="72" t="s">
        <v>794</v>
      </c>
      <c r="AH437" s="91" t="s">
        <v>794</v>
      </c>
      <c r="AT437" s="20" t="e">
        <f>VLOOKUP(C437,AW:AX,2,FALSE)</f>
        <v>#N/A</v>
      </c>
    </row>
    <row r="438" spans="1:46" ht="61.5" x14ac:dyDescent="0.85">
      <c r="A438" s="20">
        <v>1</v>
      </c>
      <c r="B438" s="66">
        <f>SUBTOTAL(103,$A$22:A438)</f>
        <v>381</v>
      </c>
      <c r="C438" s="24" t="s">
        <v>63</v>
      </c>
      <c r="D438" s="31">
        <f t="shared" ref="D438:D440" si="161">E438+F438+G438+H438+I438+J438+L438+N438+P438+R438+T438+U438+V438+W438+X438+Y438+Z438+AA438+AB438+AC438+AD438+AE438</f>
        <v>6494255.6099999994</v>
      </c>
      <c r="E438" s="31">
        <v>0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3">
        <v>0</v>
      </c>
      <c r="L438" s="31">
        <v>0</v>
      </c>
      <c r="M438" s="31">
        <v>1420</v>
      </c>
      <c r="N438" s="31">
        <f>5786396.52+434544.97</f>
        <v>6220941.4899999993</v>
      </c>
      <c r="O438" s="31">
        <v>0</v>
      </c>
      <c r="P438" s="31">
        <v>0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0</v>
      </c>
      <c r="W438" s="31">
        <v>0</v>
      </c>
      <c r="X438" s="31">
        <v>0</v>
      </c>
      <c r="Y438" s="31">
        <v>0</v>
      </c>
      <c r="Z438" s="31">
        <v>0</v>
      </c>
      <c r="AA438" s="31">
        <v>0</v>
      </c>
      <c r="AB438" s="31">
        <v>0</v>
      </c>
      <c r="AC438" s="31">
        <f>ROUND(N438*1.5%,2)</f>
        <v>93314.12</v>
      </c>
      <c r="AD438" s="31">
        <v>180000</v>
      </c>
      <c r="AE438" s="31">
        <v>0</v>
      </c>
      <c r="AF438" s="34">
        <v>2020</v>
      </c>
      <c r="AG438" s="34">
        <v>2020</v>
      </c>
      <c r="AH438" s="35">
        <v>2020</v>
      </c>
      <c r="AT438" s="20" t="e">
        <f>VLOOKUP(C438,AW:AX,2,FALSE)</f>
        <v>#N/A</v>
      </c>
    </row>
    <row r="439" spans="1:46" ht="61.5" x14ac:dyDescent="0.85">
      <c r="A439" s="20">
        <v>1</v>
      </c>
      <c r="B439" s="66">
        <f>SUBTOTAL(103,$A$22:A439)</f>
        <v>382</v>
      </c>
      <c r="C439" s="24" t="s">
        <v>1323</v>
      </c>
      <c r="D439" s="31">
        <f t="shared" si="161"/>
        <v>3789390.1299999994</v>
      </c>
      <c r="E439" s="31">
        <v>561649.39</v>
      </c>
      <c r="F439" s="31">
        <v>492637.49</v>
      </c>
      <c r="G439" s="31">
        <v>2246215.7799999998</v>
      </c>
      <c r="H439" s="31">
        <v>432886.63</v>
      </c>
      <c r="I439" s="31">
        <v>0</v>
      </c>
      <c r="J439" s="31">
        <v>0</v>
      </c>
      <c r="K439" s="33">
        <v>0</v>
      </c>
      <c r="L439" s="31">
        <v>0</v>
      </c>
      <c r="M439" s="31">
        <v>0</v>
      </c>
      <c r="N439" s="31">
        <v>0</v>
      </c>
      <c r="O439" s="31">
        <v>0</v>
      </c>
      <c r="P439" s="31">
        <v>0</v>
      </c>
      <c r="Q439" s="31">
        <v>0</v>
      </c>
      <c r="R439" s="31">
        <v>0</v>
      </c>
      <c r="S439" s="31">
        <v>0</v>
      </c>
      <c r="T439" s="31">
        <v>0</v>
      </c>
      <c r="U439" s="31">
        <v>0</v>
      </c>
      <c r="V439" s="31">
        <v>0</v>
      </c>
      <c r="W439" s="31">
        <v>0</v>
      </c>
      <c r="X439" s="31">
        <v>0</v>
      </c>
      <c r="Y439" s="31">
        <v>0</v>
      </c>
      <c r="Z439" s="31">
        <v>0</v>
      </c>
      <c r="AA439" s="31">
        <v>0</v>
      </c>
      <c r="AB439" s="31">
        <v>0</v>
      </c>
      <c r="AC439" s="31">
        <f>ROUND((E439+F439+G439+H439+I439+J439)*1.5%,2)</f>
        <v>56000.84</v>
      </c>
      <c r="AD439" s="31">
        <v>0</v>
      </c>
      <c r="AE439" s="31">
        <v>0</v>
      </c>
      <c r="AF439" s="34" t="s">
        <v>274</v>
      </c>
      <c r="AG439" s="34">
        <v>2020</v>
      </c>
      <c r="AH439" s="35">
        <v>2020</v>
      </c>
    </row>
    <row r="440" spans="1:46" ht="61.5" x14ac:dyDescent="0.85">
      <c r="A440" s="20">
        <v>1</v>
      </c>
      <c r="B440" s="66">
        <f>SUBTOTAL(103,$A$22:A440)</f>
        <v>383</v>
      </c>
      <c r="C440" s="24" t="s">
        <v>1649</v>
      </c>
      <c r="D440" s="31">
        <f t="shared" si="161"/>
        <v>5709104.1399999997</v>
      </c>
      <c r="E440" s="31">
        <v>0</v>
      </c>
      <c r="F440" s="31">
        <v>0</v>
      </c>
      <c r="G440" s="31">
        <v>0</v>
      </c>
      <c r="H440" s="31">
        <v>0</v>
      </c>
      <c r="I440" s="31">
        <v>0</v>
      </c>
      <c r="J440" s="31">
        <v>0</v>
      </c>
      <c r="K440" s="33">
        <v>0</v>
      </c>
      <c r="L440" s="31">
        <v>0</v>
      </c>
      <c r="M440" s="31">
        <v>1331</v>
      </c>
      <c r="N440" s="31">
        <v>5683584.8399999999</v>
      </c>
      <c r="O440" s="31">
        <v>0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  <c r="V440" s="31">
        <v>0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  <c r="AC440" s="31">
        <f>ROUND(N440*0.449%,2)</f>
        <v>25519.3</v>
      </c>
      <c r="AD440" s="31">
        <v>0</v>
      </c>
      <c r="AE440" s="31">
        <v>0</v>
      </c>
      <c r="AF440" s="34" t="s">
        <v>274</v>
      </c>
      <c r="AG440" s="34">
        <v>2020</v>
      </c>
      <c r="AH440" s="35">
        <v>2020</v>
      </c>
    </row>
    <row r="441" spans="1:46" ht="61.5" x14ac:dyDescent="0.85">
      <c r="A441" s="20">
        <v>1</v>
      </c>
      <c r="B441" s="66">
        <f>SUBTOTAL(103,$A$22:A441)</f>
        <v>384</v>
      </c>
      <c r="C441" s="24" t="s">
        <v>52</v>
      </c>
      <c r="D441" s="31">
        <f t="shared" ref="D441" si="162">E441+F441+G441+H441+I441+J441+L441+N441+P441+R441+T441+U441+V441+W441+X441+Y441+Z441+AA441+AB441+AC441+AD441+AE441</f>
        <v>5871927.6600000001</v>
      </c>
      <c r="E441" s="31">
        <v>0</v>
      </c>
      <c r="F441" s="31">
        <v>0</v>
      </c>
      <c r="G441" s="31">
        <v>0</v>
      </c>
      <c r="H441" s="31">
        <v>0</v>
      </c>
      <c r="I441" s="31">
        <v>0</v>
      </c>
      <c r="J441" s="31">
        <v>0</v>
      </c>
      <c r="K441" s="33">
        <v>0</v>
      </c>
      <c r="L441" s="31">
        <v>0</v>
      </c>
      <c r="M441" s="31">
        <v>1361</v>
      </c>
      <c r="N441" s="31">
        <v>5607810.5</v>
      </c>
      <c r="O441" s="31">
        <v>0</v>
      </c>
      <c r="P441" s="31">
        <v>0</v>
      </c>
      <c r="Q441" s="31">
        <v>0</v>
      </c>
      <c r="R441" s="31">
        <v>0</v>
      </c>
      <c r="S441" s="31">
        <v>0</v>
      </c>
      <c r="T441" s="31">
        <v>0</v>
      </c>
      <c r="U441" s="31">
        <v>0</v>
      </c>
      <c r="V441" s="31">
        <v>0</v>
      </c>
      <c r="W441" s="31">
        <v>0</v>
      </c>
      <c r="X441" s="31">
        <v>0</v>
      </c>
      <c r="Y441" s="31">
        <v>0</v>
      </c>
      <c r="Z441" s="31">
        <v>0</v>
      </c>
      <c r="AA441" s="31">
        <v>0</v>
      </c>
      <c r="AB441" s="31">
        <v>0</v>
      </c>
      <c r="AC441" s="31">
        <f>ROUND(N441*1.5%,2)</f>
        <v>84117.16</v>
      </c>
      <c r="AD441" s="31">
        <v>180000</v>
      </c>
      <c r="AE441" s="31">
        <v>0</v>
      </c>
      <c r="AF441" s="34">
        <v>2020</v>
      </c>
      <c r="AG441" s="34">
        <v>2020</v>
      </c>
      <c r="AH441" s="35">
        <v>2020</v>
      </c>
      <c r="AT441" s="20" t="e">
        <f>VLOOKUP(C441,AW:AX,2,FALSE)</f>
        <v>#N/A</v>
      </c>
    </row>
    <row r="442" spans="1:46" ht="61.5" x14ac:dyDescent="0.85">
      <c r="B442" s="24" t="s">
        <v>886</v>
      </c>
      <c r="C442" s="24"/>
      <c r="D442" s="31">
        <f>SUM(D443:D449)</f>
        <v>34570625.039999999</v>
      </c>
      <c r="E442" s="31">
        <f t="shared" ref="E442:AE442" si="163">SUM(E443:E449)</f>
        <v>1808322.75</v>
      </c>
      <c r="F442" s="31">
        <f t="shared" si="163"/>
        <v>3961209.92</v>
      </c>
      <c r="G442" s="31">
        <f t="shared" si="163"/>
        <v>12231471.289999999</v>
      </c>
      <c r="H442" s="31">
        <f t="shared" si="163"/>
        <v>2331370.5</v>
      </c>
      <c r="I442" s="31">
        <f t="shared" si="163"/>
        <v>2823224.32</v>
      </c>
      <c r="J442" s="31">
        <f t="shared" si="163"/>
        <v>0</v>
      </c>
      <c r="K442" s="33">
        <f t="shared" si="163"/>
        <v>0</v>
      </c>
      <c r="L442" s="31">
        <f t="shared" si="163"/>
        <v>0</v>
      </c>
      <c r="M442" s="31">
        <f t="shared" si="163"/>
        <v>1270.7</v>
      </c>
      <c r="N442" s="31">
        <f t="shared" si="163"/>
        <v>6187231.6299999999</v>
      </c>
      <c r="O442" s="31">
        <f t="shared" si="163"/>
        <v>0</v>
      </c>
      <c r="P442" s="31">
        <f t="shared" si="163"/>
        <v>0</v>
      </c>
      <c r="Q442" s="31">
        <f t="shared" si="163"/>
        <v>858.98</v>
      </c>
      <c r="R442" s="31">
        <f t="shared" si="163"/>
        <v>4616273.12</v>
      </c>
      <c r="S442" s="31">
        <f t="shared" si="163"/>
        <v>0</v>
      </c>
      <c r="T442" s="31">
        <f t="shared" si="163"/>
        <v>0</v>
      </c>
      <c r="U442" s="31">
        <f t="shared" si="163"/>
        <v>0</v>
      </c>
      <c r="V442" s="31">
        <f t="shared" si="163"/>
        <v>0</v>
      </c>
      <c r="W442" s="31">
        <f t="shared" si="163"/>
        <v>0</v>
      </c>
      <c r="X442" s="31">
        <f t="shared" si="163"/>
        <v>0</v>
      </c>
      <c r="Y442" s="31">
        <f t="shared" si="163"/>
        <v>0</v>
      </c>
      <c r="Z442" s="31">
        <f t="shared" si="163"/>
        <v>0</v>
      </c>
      <c r="AA442" s="31">
        <f t="shared" si="163"/>
        <v>0</v>
      </c>
      <c r="AB442" s="31">
        <f t="shared" si="163"/>
        <v>0</v>
      </c>
      <c r="AC442" s="31">
        <f t="shared" si="163"/>
        <v>361521.51</v>
      </c>
      <c r="AD442" s="31">
        <f t="shared" si="163"/>
        <v>250000</v>
      </c>
      <c r="AE442" s="31">
        <f t="shared" si="163"/>
        <v>0</v>
      </c>
      <c r="AF442" s="72" t="s">
        <v>794</v>
      </c>
      <c r="AG442" s="72" t="s">
        <v>794</v>
      </c>
      <c r="AH442" s="91" t="s">
        <v>794</v>
      </c>
      <c r="AT442" s="20" t="e">
        <f>VLOOKUP(C442,AW:AX,2,FALSE)</f>
        <v>#N/A</v>
      </c>
    </row>
    <row r="443" spans="1:46" ht="61.5" x14ac:dyDescent="0.85">
      <c r="A443" s="20">
        <v>1</v>
      </c>
      <c r="B443" s="66">
        <f>SUBTOTAL(103,$A$22:A443)</f>
        <v>385</v>
      </c>
      <c r="C443" s="24" t="s">
        <v>47</v>
      </c>
      <c r="D443" s="31">
        <f t="shared" ref="D443:D449" si="164">E443+F443+G443+H443+I443+J443+L443+N443+P443+R443+T443+U443+V443+W443+X443+Y443+Z443+AA443+AB443+AC443+AD443+AE443</f>
        <v>3272502.06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3">
        <v>0</v>
      </c>
      <c r="L443" s="31">
        <v>0</v>
      </c>
      <c r="M443" s="31">
        <v>626.70000000000005</v>
      </c>
      <c r="N443" s="31">
        <v>3096061.14</v>
      </c>
      <c r="O443" s="31">
        <v>0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f t="shared" ref="AC443:AC444" si="165">ROUND(N443*1.5%,2)</f>
        <v>46440.92</v>
      </c>
      <c r="AD443" s="31">
        <v>130000</v>
      </c>
      <c r="AE443" s="31">
        <v>0</v>
      </c>
      <c r="AF443" s="34">
        <v>2020</v>
      </c>
      <c r="AG443" s="34">
        <v>2020</v>
      </c>
      <c r="AH443" s="35">
        <v>2020</v>
      </c>
      <c r="AT443" s="20" t="e">
        <f>VLOOKUP(C443,AW:AX,2,FALSE)</f>
        <v>#N/A</v>
      </c>
    </row>
    <row r="444" spans="1:46" ht="61.5" x14ac:dyDescent="0.85">
      <c r="A444" s="20">
        <v>1</v>
      </c>
      <c r="B444" s="66">
        <f>SUBTOTAL(103,$A$22:A444)</f>
        <v>386</v>
      </c>
      <c r="C444" s="24" t="s">
        <v>839</v>
      </c>
      <c r="D444" s="31">
        <f t="shared" si="164"/>
        <v>3257538.05</v>
      </c>
      <c r="E444" s="31">
        <v>0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3">
        <v>0</v>
      </c>
      <c r="L444" s="31">
        <v>0</v>
      </c>
      <c r="M444" s="31">
        <v>644</v>
      </c>
      <c r="N444" s="31">
        <v>3091170.4899999998</v>
      </c>
      <c r="O444" s="31">
        <v>0</v>
      </c>
      <c r="P444" s="31">
        <v>0</v>
      </c>
      <c r="Q444" s="31">
        <v>0</v>
      </c>
      <c r="R444" s="31">
        <v>0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v>0</v>
      </c>
      <c r="Y444" s="31">
        <v>0</v>
      </c>
      <c r="Z444" s="31">
        <v>0</v>
      </c>
      <c r="AA444" s="31">
        <v>0</v>
      </c>
      <c r="AB444" s="31">
        <v>0</v>
      </c>
      <c r="AC444" s="31">
        <f t="shared" si="165"/>
        <v>46367.56</v>
      </c>
      <c r="AD444" s="31">
        <v>120000</v>
      </c>
      <c r="AE444" s="31">
        <v>0</v>
      </c>
      <c r="AF444" s="34">
        <v>2020</v>
      </c>
      <c r="AG444" s="34">
        <v>2020</v>
      </c>
      <c r="AH444" s="35">
        <v>2020</v>
      </c>
      <c r="AT444" s="20" t="e">
        <f>VLOOKUP(C444,AW:AX,2,FALSE)</f>
        <v>#N/A</v>
      </c>
    </row>
    <row r="445" spans="1:46" ht="61.5" x14ac:dyDescent="0.85">
      <c r="A445" s="20">
        <v>1</v>
      </c>
      <c r="B445" s="66">
        <f>SUBTOTAL(103,$A$22:A445)</f>
        <v>387</v>
      </c>
      <c r="C445" s="24" t="s">
        <v>1311</v>
      </c>
      <c r="D445" s="31">
        <f t="shared" si="164"/>
        <v>5055398.59</v>
      </c>
      <c r="E445" s="31">
        <v>420192.57</v>
      </c>
      <c r="F445" s="31">
        <v>698894.43</v>
      </c>
      <c r="G445" s="31">
        <v>3335941.54</v>
      </c>
      <c r="H445" s="31">
        <v>526027.78</v>
      </c>
      <c r="I445" s="31">
        <v>0</v>
      </c>
      <c r="J445" s="31">
        <v>0</v>
      </c>
      <c r="K445" s="33">
        <v>0</v>
      </c>
      <c r="L445" s="31">
        <v>0</v>
      </c>
      <c r="M445" s="31">
        <v>0</v>
      </c>
      <c r="N445" s="31">
        <v>0</v>
      </c>
      <c r="O445" s="31">
        <v>0</v>
      </c>
      <c r="P445" s="31">
        <v>0</v>
      </c>
      <c r="Q445" s="31">
        <v>0</v>
      </c>
      <c r="R445" s="31">
        <v>0</v>
      </c>
      <c r="S445" s="31">
        <v>0</v>
      </c>
      <c r="T445" s="31">
        <v>0</v>
      </c>
      <c r="U445" s="31">
        <v>0</v>
      </c>
      <c r="V445" s="31">
        <v>0</v>
      </c>
      <c r="W445" s="31">
        <v>0</v>
      </c>
      <c r="X445" s="31">
        <v>0</v>
      </c>
      <c r="Y445" s="31">
        <v>0</v>
      </c>
      <c r="Z445" s="31">
        <v>0</v>
      </c>
      <c r="AA445" s="31">
        <v>0</v>
      </c>
      <c r="AB445" s="31">
        <v>0</v>
      </c>
      <c r="AC445" s="31">
        <f>ROUND((E445+F445+G445+H445+I445+J445)*1.4925%,2)</f>
        <v>74342.27</v>
      </c>
      <c r="AD445" s="31">
        <v>0</v>
      </c>
      <c r="AE445" s="31">
        <v>0</v>
      </c>
      <c r="AF445" s="34" t="s">
        <v>274</v>
      </c>
      <c r="AG445" s="34">
        <v>2020</v>
      </c>
      <c r="AH445" s="35">
        <v>2020</v>
      </c>
    </row>
    <row r="446" spans="1:46" ht="61.5" x14ac:dyDescent="0.85">
      <c r="A446" s="20">
        <v>1</v>
      </c>
      <c r="B446" s="66">
        <f>SUBTOTAL(103,$A$22:A446)</f>
        <v>388</v>
      </c>
      <c r="C446" s="24" t="s">
        <v>1312</v>
      </c>
      <c r="D446" s="31">
        <f t="shared" si="164"/>
        <v>5685725.29</v>
      </c>
      <c r="E446" s="31">
        <v>580158.97</v>
      </c>
      <c r="F446" s="31">
        <v>1111647.94</v>
      </c>
      <c r="G446" s="31">
        <v>3450030.95</v>
      </c>
      <c r="H446" s="31">
        <v>460275.88</v>
      </c>
      <c r="I446" s="31">
        <v>0</v>
      </c>
      <c r="J446" s="31">
        <v>0</v>
      </c>
      <c r="K446" s="33">
        <v>0</v>
      </c>
      <c r="L446" s="31">
        <v>0</v>
      </c>
      <c r="M446" s="31">
        <v>0</v>
      </c>
      <c r="N446" s="31">
        <v>0</v>
      </c>
      <c r="O446" s="31">
        <v>0</v>
      </c>
      <c r="P446" s="31">
        <v>0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  <c r="AC446" s="31">
        <f>ROUND((E446+F446+G446+H446+I446+J446)*1.4925%,2)</f>
        <v>83611.55</v>
      </c>
      <c r="AD446" s="31">
        <v>0</v>
      </c>
      <c r="AE446" s="31">
        <v>0</v>
      </c>
      <c r="AF446" s="34" t="s">
        <v>274</v>
      </c>
      <c r="AG446" s="34">
        <v>2020</v>
      </c>
      <c r="AH446" s="35">
        <v>2020</v>
      </c>
    </row>
    <row r="447" spans="1:46" ht="61.5" x14ac:dyDescent="0.85">
      <c r="A447" s="20">
        <v>1</v>
      </c>
      <c r="B447" s="66">
        <f>SUBTOTAL(103,$A$22:A447)</f>
        <v>389</v>
      </c>
      <c r="C447" s="24" t="s">
        <v>1313</v>
      </c>
      <c r="D447" s="31">
        <f t="shared" si="164"/>
        <v>3267591.73</v>
      </c>
      <c r="E447" s="31">
        <v>0</v>
      </c>
      <c r="F447" s="31">
        <v>0</v>
      </c>
      <c r="G447" s="31">
        <v>3219540.09</v>
      </c>
      <c r="H447" s="31">
        <v>0</v>
      </c>
      <c r="I447" s="31">
        <v>0</v>
      </c>
      <c r="J447" s="31">
        <v>0</v>
      </c>
      <c r="K447" s="33">
        <v>0</v>
      </c>
      <c r="L447" s="31">
        <v>0</v>
      </c>
      <c r="M447" s="31">
        <v>0</v>
      </c>
      <c r="N447" s="31">
        <v>0</v>
      </c>
      <c r="O447" s="31">
        <v>0</v>
      </c>
      <c r="P447" s="31">
        <v>0</v>
      </c>
      <c r="Q447" s="31">
        <v>0</v>
      </c>
      <c r="R447" s="31">
        <v>0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v>0</v>
      </c>
      <c r="Y447" s="31">
        <v>0</v>
      </c>
      <c r="Z447" s="31">
        <v>0</v>
      </c>
      <c r="AA447" s="31">
        <v>0</v>
      </c>
      <c r="AB447" s="31">
        <v>0</v>
      </c>
      <c r="AC447" s="31">
        <f>ROUND((E447+F447+G447+H447+I447+J447)*1.4925%,2)</f>
        <v>48051.64</v>
      </c>
      <c r="AD447" s="31">
        <v>0</v>
      </c>
      <c r="AE447" s="31">
        <v>0</v>
      </c>
      <c r="AF447" s="34" t="s">
        <v>274</v>
      </c>
      <c r="AG447" s="34">
        <v>2020</v>
      </c>
      <c r="AH447" s="35">
        <v>2020</v>
      </c>
    </row>
    <row r="448" spans="1:46" ht="61.5" x14ac:dyDescent="0.85">
      <c r="A448" s="20">
        <v>1</v>
      </c>
      <c r="B448" s="66">
        <f>SUBTOTAL(103,$A$22:A448)</f>
        <v>390</v>
      </c>
      <c r="C448" s="24" t="s">
        <v>1314</v>
      </c>
      <c r="D448" s="31">
        <f t="shared" si="164"/>
        <v>9394873.7499999981</v>
      </c>
      <c r="E448" s="31">
        <v>807971.21</v>
      </c>
      <c r="F448" s="31">
        <v>2150667.5499999998</v>
      </c>
      <c r="G448" s="31">
        <f>2197143.37+28815.34</f>
        <v>2225958.71</v>
      </c>
      <c r="H448" s="31">
        <v>1345066.84</v>
      </c>
      <c r="I448" s="31">
        <v>2823224.32</v>
      </c>
      <c r="J448" s="31">
        <v>0</v>
      </c>
      <c r="K448" s="33">
        <v>0</v>
      </c>
      <c r="L448" s="31">
        <v>0</v>
      </c>
      <c r="M448" s="31">
        <v>0</v>
      </c>
      <c r="N448" s="31">
        <v>0</v>
      </c>
      <c r="O448" s="31">
        <v>0</v>
      </c>
      <c r="P448" s="31">
        <v>0</v>
      </c>
      <c r="Q448" s="31">
        <v>0</v>
      </c>
      <c r="R448" s="31">
        <v>0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f>ROUND((E448+F448+G448+H448+I448+J448)*0.4489%,2)</f>
        <v>41985.120000000003</v>
      </c>
      <c r="AD448" s="31">
        <v>0</v>
      </c>
      <c r="AE448" s="31">
        <v>0</v>
      </c>
      <c r="AF448" s="34" t="s">
        <v>274</v>
      </c>
      <c r="AG448" s="34">
        <v>2020</v>
      </c>
      <c r="AH448" s="35">
        <v>2020</v>
      </c>
    </row>
    <row r="449" spans="1:46" ht="61.5" x14ac:dyDescent="0.85">
      <c r="A449" s="20">
        <v>1</v>
      </c>
      <c r="B449" s="66">
        <f>SUBTOTAL(103,$A$22:A449)</f>
        <v>391</v>
      </c>
      <c r="C449" s="24" t="s">
        <v>1315</v>
      </c>
      <c r="D449" s="31">
        <f t="shared" si="164"/>
        <v>4636995.57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3">
        <v>0</v>
      </c>
      <c r="L449" s="31">
        <v>0</v>
      </c>
      <c r="M449" s="31">
        <v>0</v>
      </c>
      <c r="N449" s="31">
        <v>0</v>
      </c>
      <c r="O449" s="31">
        <v>0</v>
      </c>
      <c r="P449" s="31">
        <v>0</v>
      </c>
      <c r="Q449" s="31">
        <v>858.98</v>
      </c>
      <c r="R449" s="31">
        <v>4616273.12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f>ROUND(R449*0.4489%,2)</f>
        <v>20722.45</v>
      </c>
      <c r="AD449" s="31">
        <v>0</v>
      </c>
      <c r="AE449" s="31">
        <v>0</v>
      </c>
      <c r="AF449" s="34" t="s">
        <v>274</v>
      </c>
      <c r="AG449" s="34">
        <v>2020</v>
      </c>
      <c r="AH449" s="35">
        <v>2020</v>
      </c>
    </row>
    <row r="450" spans="1:46" ht="61.5" x14ac:dyDescent="0.85">
      <c r="B450" s="24" t="s">
        <v>887</v>
      </c>
      <c r="C450" s="24"/>
      <c r="D450" s="31">
        <f>SUM(D451:D455)</f>
        <v>12742956.99</v>
      </c>
      <c r="E450" s="31">
        <f t="shared" ref="E450:AE450" si="166">SUM(E451:E455)</f>
        <v>201099.12</v>
      </c>
      <c r="F450" s="31">
        <f t="shared" si="166"/>
        <v>0</v>
      </c>
      <c r="G450" s="31">
        <f t="shared" si="166"/>
        <v>1461558.41</v>
      </c>
      <c r="H450" s="31">
        <f t="shared" si="166"/>
        <v>0</v>
      </c>
      <c r="I450" s="31">
        <f t="shared" si="166"/>
        <v>727541.11</v>
      </c>
      <c r="J450" s="31">
        <f t="shared" si="166"/>
        <v>0</v>
      </c>
      <c r="K450" s="33">
        <f t="shared" si="166"/>
        <v>0</v>
      </c>
      <c r="L450" s="31">
        <f t="shared" si="166"/>
        <v>0</v>
      </c>
      <c r="M450" s="31">
        <f t="shared" si="166"/>
        <v>2075.5</v>
      </c>
      <c r="N450" s="31">
        <f t="shared" si="166"/>
        <v>10164438.779999999</v>
      </c>
      <c r="O450" s="31">
        <f t="shared" si="166"/>
        <v>0</v>
      </c>
      <c r="P450" s="31">
        <f t="shared" si="166"/>
        <v>0</v>
      </c>
      <c r="Q450" s="31">
        <f t="shared" si="166"/>
        <v>0</v>
      </c>
      <c r="R450" s="31">
        <f t="shared" si="166"/>
        <v>0</v>
      </c>
      <c r="S450" s="31">
        <f t="shared" si="166"/>
        <v>0</v>
      </c>
      <c r="T450" s="31">
        <f t="shared" si="166"/>
        <v>0</v>
      </c>
      <c r="U450" s="31">
        <f t="shared" si="166"/>
        <v>0</v>
      </c>
      <c r="V450" s="31">
        <f t="shared" si="166"/>
        <v>0</v>
      </c>
      <c r="W450" s="31">
        <f t="shared" si="166"/>
        <v>0</v>
      </c>
      <c r="X450" s="31">
        <f t="shared" si="166"/>
        <v>0</v>
      </c>
      <c r="Y450" s="31">
        <f t="shared" si="166"/>
        <v>0</v>
      </c>
      <c r="Z450" s="31">
        <f t="shared" si="166"/>
        <v>0</v>
      </c>
      <c r="AA450" s="31">
        <f t="shared" si="166"/>
        <v>0</v>
      </c>
      <c r="AB450" s="31">
        <f t="shared" si="166"/>
        <v>0</v>
      </c>
      <c r="AC450" s="31">
        <f t="shared" si="166"/>
        <v>188319.57</v>
      </c>
      <c r="AD450" s="31">
        <f t="shared" si="166"/>
        <v>0</v>
      </c>
      <c r="AE450" s="31">
        <f t="shared" si="166"/>
        <v>0</v>
      </c>
      <c r="AF450" s="72" t="s">
        <v>794</v>
      </c>
      <c r="AG450" s="72" t="s">
        <v>794</v>
      </c>
      <c r="AH450" s="91" t="s">
        <v>794</v>
      </c>
      <c r="AT450" s="20" t="e">
        <f>VLOOKUP(C450,AW:AX,2,FALSE)</f>
        <v>#N/A</v>
      </c>
    </row>
    <row r="451" spans="1:46" ht="61.5" x14ac:dyDescent="0.85">
      <c r="A451" s="20">
        <v>1</v>
      </c>
      <c r="B451" s="66">
        <f>SUBTOTAL(103,$A$22:A451)</f>
        <v>392</v>
      </c>
      <c r="C451" s="24" t="s">
        <v>44</v>
      </c>
      <c r="D451" s="31">
        <f t="shared" ref="D451:D455" si="167">E451+F451+G451+H451+I451+J451+L451+N451+P451+R451+T451+U451+V451+W451+X451+Y451+Z451+AA451+AB451+AC451+AD451+AE451</f>
        <v>2946282.12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3">
        <v>0</v>
      </c>
      <c r="L451" s="31">
        <v>0</v>
      </c>
      <c r="M451" s="31">
        <v>604.1</v>
      </c>
      <c r="N451" s="31">
        <f>2922741-20000</f>
        <v>2902741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f t="shared" ref="AC451:AC453" si="168">ROUND(N451*1.5%,2)</f>
        <v>43541.120000000003</v>
      </c>
      <c r="AD451" s="31">
        <v>0</v>
      </c>
      <c r="AE451" s="31">
        <v>0</v>
      </c>
      <c r="AF451" s="34" t="s">
        <v>274</v>
      </c>
      <c r="AG451" s="34">
        <v>2020</v>
      </c>
      <c r="AH451" s="35">
        <v>2020</v>
      </c>
      <c r="AT451" s="20" t="e">
        <f>VLOOKUP(C451,AW:AX,2,FALSE)</f>
        <v>#N/A</v>
      </c>
    </row>
    <row r="452" spans="1:46" ht="61.5" x14ac:dyDescent="0.85">
      <c r="A452" s="20">
        <v>1</v>
      </c>
      <c r="B452" s="66">
        <f>SUBTOTAL(103,$A$22:A452)</f>
        <v>393</v>
      </c>
      <c r="C452" s="24" t="s">
        <v>43</v>
      </c>
      <c r="D452" s="31">
        <f t="shared" si="167"/>
        <v>2933807.77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3">
        <v>0</v>
      </c>
      <c r="L452" s="31">
        <v>0</v>
      </c>
      <c r="M452" s="31">
        <v>500.6</v>
      </c>
      <c r="N452" s="31">
        <f>2910451-20000</f>
        <v>2890451</v>
      </c>
      <c r="O452" s="31">
        <v>0</v>
      </c>
      <c r="P452" s="31">
        <v>0</v>
      </c>
      <c r="Q452" s="31">
        <v>0</v>
      </c>
      <c r="R452" s="31">
        <v>0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f t="shared" si="168"/>
        <v>43356.77</v>
      </c>
      <c r="AD452" s="31">
        <v>0</v>
      </c>
      <c r="AE452" s="31">
        <v>0</v>
      </c>
      <c r="AF452" s="34" t="s">
        <v>274</v>
      </c>
      <c r="AG452" s="34">
        <v>2020</v>
      </c>
      <c r="AH452" s="35">
        <v>2020</v>
      </c>
      <c r="AT452" s="20" t="e">
        <f>VLOOKUP(C452,AW:AX,2,FALSE)</f>
        <v>#N/A</v>
      </c>
    </row>
    <row r="453" spans="1:46" ht="61.5" x14ac:dyDescent="0.85">
      <c r="A453" s="20">
        <v>1</v>
      </c>
      <c r="B453" s="66">
        <f>SUBTOTAL(103,$A$22:A453)</f>
        <v>394</v>
      </c>
      <c r="C453" s="24" t="s">
        <v>45</v>
      </c>
      <c r="D453" s="31">
        <f t="shared" si="167"/>
        <v>2927741.81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3">
        <v>0</v>
      </c>
      <c r="L453" s="31">
        <v>0</v>
      </c>
      <c r="M453" s="31">
        <v>516.79999999999995</v>
      </c>
      <c r="N453" s="31">
        <f>2922888-38413.31</f>
        <v>2884474.69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1">
        <v>0</v>
      </c>
      <c r="AA453" s="31">
        <v>0</v>
      </c>
      <c r="AB453" s="31">
        <v>0</v>
      </c>
      <c r="AC453" s="31">
        <f t="shared" si="168"/>
        <v>43267.12</v>
      </c>
      <c r="AD453" s="31">
        <v>0</v>
      </c>
      <c r="AE453" s="31">
        <v>0</v>
      </c>
      <c r="AF453" s="34" t="s">
        <v>274</v>
      </c>
      <c r="AG453" s="34">
        <v>2020</v>
      </c>
      <c r="AH453" s="35">
        <v>2020</v>
      </c>
      <c r="AT453" s="20" t="e">
        <f>VLOOKUP(C453,AW:AX,2,FALSE)</f>
        <v>#N/A</v>
      </c>
    </row>
    <row r="454" spans="1:46" ht="61.5" x14ac:dyDescent="0.85">
      <c r="A454" s="20">
        <v>1</v>
      </c>
      <c r="B454" s="66">
        <f>SUBTOTAL(103,$A$22:A454)</f>
        <v>395</v>
      </c>
      <c r="C454" s="24" t="s">
        <v>1321</v>
      </c>
      <c r="D454" s="31">
        <f t="shared" si="167"/>
        <v>2426051.6199999996</v>
      </c>
      <c r="E454" s="31">
        <v>201099.12</v>
      </c>
      <c r="F454" s="31">
        <v>0</v>
      </c>
      <c r="G454" s="31">
        <v>1461558.41</v>
      </c>
      <c r="H454" s="31">
        <v>0</v>
      </c>
      <c r="I454" s="31">
        <v>727541.11</v>
      </c>
      <c r="J454" s="31">
        <v>0</v>
      </c>
      <c r="K454" s="33">
        <v>0</v>
      </c>
      <c r="L454" s="31">
        <v>0</v>
      </c>
      <c r="M454" s="31">
        <v>0</v>
      </c>
      <c r="N454" s="31">
        <v>0</v>
      </c>
      <c r="O454" s="31">
        <v>0</v>
      </c>
      <c r="P454" s="31">
        <v>0</v>
      </c>
      <c r="Q454" s="31">
        <v>0</v>
      </c>
      <c r="R454" s="31">
        <v>0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v>0</v>
      </c>
      <c r="Y454" s="31">
        <v>0</v>
      </c>
      <c r="Z454" s="31">
        <v>0</v>
      </c>
      <c r="AA454" s="31">
        <v>0</v>
      </c>
      <c r="AB454" s="31">
        <v>0</v>
      </c>
      <c r="AC454" s="31">
        <f t="shared" ref="AC454" si="169">ROUND((E454+F454+G454+H454+I454+J454)*1.5%,2)</f>
        <v>35852.980000000003</v>
      </c>
      <c r="AD454" s="31">
        <v>0</v>
      </c>
      <c r="AE454" s="31">
        <v>0</v>
      </c>
      <c r="AF454" s="34" t="s">
        <v>274</v>
      </c>
      <c r="AG454" s="34">
        <v>2020</v>
      </c>
      <c r="AH454" s="35">
        <v>2020</v>
      </c>
    </row>
    <row r="455" spans="1:46" ht="61.5" x14ac:dyDescent="0.85">
      <c r="A455" s="20">
        <v>1</v>
      </c>
      <c r="B455" s="66">
        <f>SUBTOTAL(103,$A$22:A455)</f>
        <v>396</v>
      </c>
      <c r="C455" s="24" t="s">
        <v>1322</v>
      </c>
      <c r="D455" s="31">
        <f t="shared" si="167"/>
        <v>1509073.6700000002</v>
      </c>
      <c r="E455" s="31">
        <v>0</v>
      </c>
      <c r="F455" s="31">
        <v>0</v>
      </c>
      <c r="G455" s="31">
        <v>0</v>
      </c>
      <c r="H455" s="31">
        <v>0</v>
      </c>
      <c r="I455" s="31">
        <v>0</v>
      </c>
      <c r="J455" s="31">
        <v>0</v>
      </c>
      <c r="K455" s="33">
        <v>0</v>
      </c>
      <c r="L455" s="31">
        <v>0</v>
      </c>
      <c r="M455" s="31">
        <v>454</v>
      </c>
      <c r="N455" s="31">
        <v>1486772.09</v>
      </c>
      <c r="O455" s="31">
        <v>0</v>
      </c>
      <c r="P455" s="31">
        <v>0</v>
      </c>
      <c r="Q455" s="31">
        <v>0</v>
      </c>
      <c r="R455" s="31">
        <v>0</v>
      </c>
      <c r="S455" s="31">
        <v>0</v>
      </c>
      <c r="T455" s="31">
        <v>0</v>
      </c>
      <c r="U455" s="31">
        <v>0</v>
      </c>
      <c r="V455" s="31">
        <v>0</v>
      </c>
      <c r="W455" s="31">
        <v>0</v>
      </c>
      <c r="X455" s="31">
        <v>0</v>
      </c>
      <c r="Y455" s="31">
        <v>0</v>
      </c>
      <c r="Z455" s="31">
        <v>0</v>
      </c>
      <c r="AA455" s="31">
        <v>0</v>
      </c>
      <c r="AB455" s="31">
        <v>0</v>
      </c>
      <c r="AC455" s="31">
        <f>ROUND(N455*1.5%,2)</f>
        <v>22301.58</v>
      </c>
      <c r="AD455" s="31">
        <v>0</v>
      </c>
      <c r="AE455" s="31">
        <v>0</v>
      </c>
      <c r="AF455" s="34" t="s">
        <v>274</v>
      </c>
      <c r="AG455" s="34">
        <v>2020</v>
      </c>
      <c r="AH455" s="35">
        <v>2020</v>
      </c>
    </row>
    <row r="456" spans="1:46" ht="61.5" x14ac:dyDescent="0.85">
      <c r="B456" s="24" t="s">
        <v>888</v>
      </c>
      <c r="C456" s="24"/>
      <c r="D456" s="31">
        <f>D457+D458</f>
        <v>6025381.3300000001</v>
      </c>
      <c r="E456" s="31">
        <f t="shared" ref="E456:AE456" si="170">E457+E458</f>
        <v>0</v>
      </c>
      <c r="F456" s="31">
        <f t="shared" si="170"/>
        <v>0</v>
      </c>
      <c r="G456" s="31">
        <f t="shared" si="170"/>
        <v>0</v>
      </c>
      <c r="H456" s="31">
        <f t="shared" si="170"/>
        <v>0</v>
      </c>
      <c r="I456" s="31">
        <f t="shared" si="170"/>
        <v>0</v>
      </c>
      <c r="J456" s="31">
        <f t="shared" si="170"/>
        <v>0</v>
      </c>
      <c r="K456" s="33">
        <f t="shared" si="170"/>
        <v>0</v>
      </c>
      <c r="L456" s="31">
        <f t="shared" si="170"/>
        <v>0</v>
      </c>
      <c r="M456" s="31">
        <f t="shared" si="170"/>
        <v>1237.3</v>
      </c>
      <c r="N456" s="31">
        <f t="shared" si="170"/>
        <v>5936336.2799999993</v>
      </c>
      <c r="O456" s="31">
        <f t="shared" si="170"/>
        <v>0</v>
      </c>
      <c r="P456" s="31">
        <f t="shared" si="170"/>
        <v>0</v>
      </c>
      <c r="Q456" s="31">
        <f t="shared" si="170"/>
        <v>0</v>
      </c>
      <c r="R456" s="31">
        <f t="shared" si="170"/>
        <v>0</v>
      </c>
      <c r="S456" s="31">
        <f t="shared" si="170"/>
        <v>0</v>
      </c>
      <c r="T456" s="31">
        <f t="shared" si="170"/>
        <v>0</v>
      </c>
      <c r="U456" s="31">
        <f t="shared" si="170"/>
        <v>0</v>
      </c>
      <c r="V456" s="31">
        <f t="shared" si="170"/>
        <v>0</v>
      </c>
      <c r="W456" s="31">
        <f t="shared" si="170"/>
        <v>0</v>
      </c>
      <c r="X456" s="31">
        <f t="shared" si="170"/>
        <v>0</v>
      </c>
      <c r="Y456" s="31">
        <f t="shared" si="170"/>
        <v>0</v>
      </c>
      <c r="Z456" s="31">
        <f t="shared" si="170"/>
        <v>0</v>
      </c>
      <c r="AA456" s="31">
        <f t="shared" si="170"/>
        <v>0</v>
      </c>
      <c r="AB456" s="31">
        <f t="shared" si="170"/>
        <v>0</v>
      </c>
      <c r="AC456" s="31">
        <f t="shared" si="170"/>
        <v>89045.05</v>
      </c>
      <c r="AD456" s="31">
        <f t="shared" si="170"/>
        <v>0</v>
      </c>
      <c r="AE456" s="31">
        <f t="shared" si="170"/>
        <v>0</v>
      </c>
      <c r="AF456" s="72" t="s">
        <v>794</v>
      </c>
      <c r="AG456" s="72" t="s">
        <v>794</v>
      </c>
      <c r="AH456" s="91" t="s">
        <v>794</v>
      </c>
      <c r="AT456" s="20" t="e">
        <f>VLOOKUP(C456,AW:AX,2,FALSE)</f>
        <v>#N/A</v>
      </c>
    </row>
    <row r="457" spans="1:46" ht="61.5" x14ac:dyDescent="0.85">
      <c r="A457" s="20">
        <v>1</v>
      </c>
      <c r="B457" s="66">
        <f>SUBTOTAL(103,$A$22:A457)</f>
        <v>397</v>
      </c>
      <c r="C457" s="24" t="s">
        <v>42</v>
      </c>
      <c r="D457" s="31">
        <f t="shared" ref="D457:D458" si="171">E457+F457+G457+H457+I457+J457+L457+N457+P457+R457+T457+U457+V457+W457+X457+Y457+Z457+AA457+AB457+AC457+AD457+AE457</f>
        <v>2857792.39</v>
      </c>
      <c r="E457" s="31">
        <v>0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3">
        <v>0</v>
      </c>
      <c r="L457" s="31">
        <v>0</v>
      </c>
      <c r="M457" s="31">
        <v>490</v>
      </c>
      <c r="N457" s="31">
        <v>2815559</v>
      </c>
      <c r="O457" s="31">
        <v>0</v>
      </c>
      <c r="P457" s="31">
        <v>0</v>
      </c>
      <c r="Q457" s="31">
        <v>0</v>
      </c>
      <c r="R457" s="31">
        <v>0</v>
      </c>
      <c r="S457" s="31">
        <v>0</v>
      </c>
      <c r="T457" s="31">
        <v>0</v>
      </c>
      <c r="U457" s="31">
        <v>0</v>
      </c>
      <c r="V457" s="31">
        <v>0</v>
      </c>
      <c r="W457" s="31">
        <v>0</v>
      </c>
      <c r="X457" s="31">
        <v>0</v>
      </c>
      <c r="Y457" s="31">
        <v>0</v>
      </c>
      <c r="Z457" s="31">
        <v>0</v>
      </c>
      <c r="AA457" s="31">
        <v>0</v>
      </c>
      <c r="AB457" s="31">
        <v>0</v>
      </c>
      <c r="AC457" s="31">
        <f>ROUND(N457*1.5%,2)</f>
        <v>42233.39</v>
      </c>
      <c r="AD457" s="31">
        <v>0</v>
      </c>
      <c r="AE457" s="31">
        <v>0</v>
      </c>
      <c r="AF457" s="34" t="s">
        <v>274</v>
      </c>
      <c r="AG457" s="34">
        <v>2020</v>
      </c>
      <c r="AH457" s="35">
        <v>2020</v>
      </c>
      <c r="AT457" s="20" t="e">
        <f>VLOOKUP(C457,AW:AX,2,FALSE)</f>
        <v>#N/A</v>
      </c>
    </row>
    <row r="458" spans="1:46" ht="61.5" x14ac:dyDescent="0.85">
      <c r="A458" s="20">
        <v>1</v>
      </c>
      <c r="B458" s="66">
        <f>SUBTOTAL(103,$A$22:A458)</f>
        <v>398</v>
      </c>
      <c r="C458" s="24" t="s">
        <v>1651</v>
      </c>
      <c r="D458" s="31">
        <f t="shared" si="171"/>
        <v>3167588.94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3">
        <v>0</v>
      </c>
      <c r="L458" s="31">
        <v>0</v>
      </c>
      <c r="M458" s="31">
        <v>747.3</v>
      </c>
      <c r="N458" s="31">
        <v>3120777.28</v>
      </c>
      <c r="O458" s="31">
        <v>0</v>
      </c>
      <c r="P458" s="31">
        <v>0</v>
      </c>
      <c r="Q458" s="31">
        <v>0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46811.66</v>
      </c>
      <c r="AD458" s="31">
        <v>0</v>
      </c>
      <c r="AE458" s="31">
        <v>0</v>
      </c>
      <c r="AF458" s="34" t="s">
        <v>274</v>
      </c>
      <c r="AG458" s="34">
        <v>2020</v>
      </c>
      <c r="AH458" s="35">
        <v>2020</v>
      </c>
    </row>
    <row r="459" spans="1:46" ht="61.5" x14ac:dyDescent="0.85">
      <c r="B459" s="24" t="s">
        <v>889</v>
      </c>
      <c r="C459" s="24"/>
      <c r="D459" s="31">
        <f>SUM(D460:D468)</f>
        <v>29961094.709999993</v>
      </c>
      <c r="E459" s="31">
        <f t="shared" ref="E459:AE459" si="172">SUM(E460:E468)</f>
        <v>0</v>
      </c>
      <c r="F459" s="31">
        <f t="shared" si="172"/>
        <v>0</v>
      </c>
      <c r="G459" s="31">
        <f t="shared" si="172"/>
        <v>0</v>
      </c>
      <c r="H459" s="31">
        <f t="shared" si="172"/>
        <v>0</v>
      </c>
      <c r="I459" s="31">
        <f t="shared" si="172"/>
        <v>0</v>
      </c>
      <c r="J459" s="31">
        <f t="shared" si="172"/>
        <v>0</v>
      </c>
      <c r="K459" s="33">
        <f t="shared" si="172"/>
        <v>0</v>
      </c>
      <c r="L459" s="31">
        <f t="shared" si="172"/>
        <v>0</v>
      </c>
      <c r="M459" s="31">
        <f t="shared" si="172"/>
        <v>5657.7</v>
      </c>
      <c r="N459" s="31">
        <f t="shared" si="172"/>
        <v>24734781.110000003</v>
      </c>
      <c r="O459" s="31">
        <f t="shared" si="172"/>
        <v>0</v>
      </c>
      <c r="P459" s="31">
        <f t="shared" si="172"/>
        <v>0</v>
      </c>
      <c r="Q459" s="31">
        <f t="shared" si="172"/>
        <v>2886.45</v>
      </c>
      <c r="R459" s="31">
        <f t="shared" si="172"/>
        <v>4308518.51</v>
      </c>
      <c r="S459" s="31">
        <f t="shared" si="172"/>
        <v>0</v>
      </c>
      <c r="T459" s="31">
        <f t="shared" si="172"/>
        <v>0</v>
      </c>
      <c r="U459" s="31">
        <f t="shared" si="172"/>
        <v>0</v>
      </c>
      <c r="V459" s="31">
        <f t="shared" si="172"/>
        <v>0</v>
      </c>
      <c r="W459" s="31">
        <f t="shared" si="172"/>
        <v>0</v>
      </c>
      <c r="X459" s="31">
        <f t="shared" si="172"/>
        <v>0</v>
      </c>
      <c r="Y459" s="31">
        <f t="shared" si="172"/>
        <v>0</v>
      </c>
      <c r="Z459" s="31">
        <f t="shared" si="172"/>
        <v>0</v>
      </c>
      <c r="AA459" s="31">
        <f t="shared" si="172"/>
        <v>0</v>
      </c>
      <c r="AB459" s="31">
        <f t="shared" si="172"/>
        <v>0</v>
      </c>
      <c r="AC459" s="31">
        <f t="shared" si="172"/>
        <v>435649.49999999994</v>
      </c>
      <c r="AD459" s="31">
        <f t="shared" si="172"/>
        <v>482145.58999999997</v>
      </c>
      <c r="AE459" s="31">
        <f t="shared" si="172"/>
        <v>0</v>
      </c>
      <c r="AF459" s="72" t="s">
        <v>794</v>
      </c>
      <c r="AG459" s="72" t="s">
        <v>794</v>
      </c>
      <c r="AH459" s="91" t="s">
        <v>794</v>
      </c>
      <c r="AT459" s="20" t="e">
        <f>VLOOKUP(C459,AW:AX,2,FALSE)</f>
        <v>#N/A</v>
      </c>
    </row>
    <row r="460" spans="1:46" ht="61.5" x14ac:dyDescent="0.85">
      <c r="A460" s="20">
        <v>1</v>
      </c>
      <c r="B460" s="66">
        <f>SUBTOTAL(103,$A$22:A460)</f>
        <v>399</v>
      </c>
      <c r="C460" s="24" t="s">
        <v>50</v>
      </c>
      <c r="D460" s="31">
        <f t="shared" ref="D460:D468" si="173">E460+F460+G460+H460+I460+J460+L460+N460+P460+R460+T460+U460+V460+W460+X460+Y460+Z460+AA460+AB460+AC460+AD460+AE460</f>
        <v>4525933.4200000009</v>
      </c>
      <c r="E460" s="31">
        <v>0</v>
      </c>
      <c r="F460" s="31">
        <v>0</v>
      </c>
      <c r="G460" s="31">
        <v>0</v>
      </c>
      <c r="H460" s="31">
        <v>0</v>
      </c>
      <c r="I460" s="31">
        <v>0</v>
      </c>
      <c r="J460" s="31">
        <v>0</v>
      </c>
      <c r="K460" s="33">
        <v>0</v>
      </c>
      <c r="L460" s="31">
        <v>0</v>
      </c>
      <c r="M460" s="31">
        <v>867.3</v>
      </c>
      <c r="N460" s="31">
        <v>4314154.82</v>
      </c>
      <c r="O460" s="31">
        <v>0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v>0</v>
      </c>
      <c r="Y460" s="31">
        <v>0</v>
      </c>
      <c r="Z460" s="31">
        <v>0</v>
      </c>
      <c r="AA460" s="31">
        <v>0</v>
      </c>
      <c r="AB460" s="31">
        <v>0</v>
      </c>
      <c r="AC460" s="31">
        <f t="shared" ref="AC460:AC465" si="174">ROUND(N460*1.5%,2)</f>
        <v>64712.32</v>
      </c>
      <c r="AD460" s="31">
        <v>147066.28</v>
      </c>
      <c r="AE460" s="31">
        <v>0</v>
      </c>
      <c r="AF460" s="34">
        <v>2020</v>
      </c>
      <c r="AG460" s="34">
        <v>2020</v>
      </c>
      <c r="AH460" s="35">
        <v>2020</v>
      </c>
      <c r="AT460" s="20" t="e">
        <f>VLOOKUP(C460,AW:AX,2,FALSE)</f>
        <v>#N/A</v>
      </c>
    </row>
    <row r="461" spans="1:46" ht="61.5" x14ac:dyDescent="0.85">
      <c r="A461" s="20">
        <v>1</v>
      </c>
      <c r="B461" s="66">
        <f>SUBTOTAL(103,$A$22:A461)</f>
        <v>400</v>
      </c>
      <c r="C461" s="24" t="s">
        <v>48</v>
      </c>
      <c r="D461" s="31">
        <f t="shared" si="173"/>
        <v>3351574.4499999997</v>
      </c>
      <c r="E461" s="31">
        <v>0</v>
      </c>
      <c r="F461" s="31">
        <v>0</v>
      </c>
      <c r="G461" s="31">
        <v>0</v>
      </c>
      <c r="H461" s="31">
        <v>0</v>
      </c>
      <c r="I461" s="31">
        <v>0</v>
      </c>
      <c r="J461" s="31">
        <v>0</v>
      </c>
      <c r="K461" s="33">
        <v>0</v>
      </c>
      <c r="L461" s="31">
        <v>0</v>
      </c>
      <c r="M461" s="31">
        <v>652.70000000000005</v>
      </c>
      <c r="N461" s="31">
        <v>3210117.1</v>
      </c>
      <c r="O461" s="31">
        <v>0</v>
      </c>
      <c r="P461" s="31">
        <v>0</v>
      </c>
      <c r="Q461" s="31">
        <v>0</v>
      </c>
      <c r="R461" s="31">
        <v>0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1">
        <v>0</v>
      </c>
      <c r="Y461" s="31">
        <v>0</v>
      </c>
      <c r="Z461" s="31">
        <v>0</v>
      </c>
      <c r="AA461" s="31">
        <v>0</v>
      </c>
      <c r="AB461" s="31">
        <v>0</v>
      </c>
      <c r="AC461" s="31">
        <f t="shared" si="174"/>
        <v>48151.76</v>
      </c>
      <c r="AD461" s="31">
        <v>93305.59</v>
      </c>
      <c r="AE461" s="31">
        <v>0</v>
      </c>
      <c r="AF461" s="34">
        <v>2020</v>
      </c>
      <c r="AG461" s="34">
        <v>2020</v>
      </c>
      <c r="AH461" s="35">
        <v>2020</v>
      </c>
      <c r="AT461" s="20" t="e">
        <f>VLOOKUP(C461,AW:AX,2,FALSE)</f>
        <v>#N/A</v>
      </c>
    </row>
    <row r="462" spans="1:46" ht="61.5" x14ac:dyDescent="0.85">
      <c r="A462" s="20">
        <v>1</v>
      </c>
      <c r="B462" s="66">
        <f>SUBTOTAL(103,$A$22:A462)</f>
        <v>401</v>
      </c>
      <c r="C462" s="24" t="s">
        <v>49</v>
      </c>
      <c r="D462" s="31">
        <f t="shared" si="173"/>
        <v>4680435.38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3">
        <v>0</v>
      </c>
      <c r="L462" s="31">
        <v>0</v>
      </c>
      <c r="M462" s="31">
        <v>896.9</v>
      </c>
      <c r="N462" s="31">
        <v>4466435.88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1">
        <v>0</v>
      </c>
      <c r="AA462" s="31">
        <v>0</v>
      </c>
      <c r="AB462" s="31">
        <v>0</v>
      </c>
      <c r="AC462" s="31">
        <f t="shared" si="174"/>
        <v>66996.539999999994</v>
      </c>
      <c r="AD462" s="31">
        <v>147002.96</v>
      </c>
      <c r="AE462" s="31">
        <v>0</v>
      </c>
      <c r="AF462" s="34">
        <v>2020</v>
      </c>
      <c r="AG462" s="34">
        <v>2020</v>
      </c>
      <c r="AH462" s="35">
        <v>2020</v>
      </c>
      <c r="AT462" s="20">
        <f>VLOOKUP(C462,AW:AX,2,FALSE)</f>
        <v>1</v>
      </c>
    </row>
    <row r="463" spans="1:46" ht="61.5" x14ac:dyDescent="0.85">
      <c r="A463" s="20">
        <v>1</v>
      </c>
      <c r="B463" s="66">
        <f>SUBTOTAL(103,$A$22:A463)</f>
        <v>402</v>
      </c>
      <c r="C463" s="24" t="s">
        <v>51</v>
      </c>
      <c r="D463" s="31">
        <f t="shared" si="173"/>
        <v>3500816.5599999996</v>
      </c>
      <c r="E463" s="31">
        <v>0</v>
      </c>
      <c r="F463" s="31">
        <v>0</v>
      </c>
      <c r="G463" s="31">
        <v>0</v>
      </c>
      <c r="H463" s="31">
        <v>0</v>
      </c>
      <c r="I463" s="31">
        <v>0</v>
      </c>
      <c r="J463" s="31">
        <v>0</v>
      </c>
      <c r="K463" s="33">
        <v>0</v>
      </c>
      <c r="L463" s="31">
        <v>0</v>
      </c>
      <c r="M463" s="31">
        <v>681</v>
      </c>
      <c r="N463" s="31">
        <v>3355710.15</v>
      </c>
      <c r="O463" s="31">
        <v>0</v>
      </c>
      <c r="P463" s="31">
        <v>0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1">
        <v>0</v>
      </c>
      <c r="Y463" s="31">
        <v>0</v>
      </c>
      <c r="Z463" s="31">
        <v>0</v>
      </c>
      <c r="AA463" s="31">
        <v>0</v>
      </c>
      <c r="AB463" s="31">
        <v>0</v>
      </c>
      <c r="AC463" s="31">
        <f t="shared" si="174"/>
        <v>50335.65</v>
      </c>
      <c r="AD463" s="31">
        <v>94770.76</v>
      </c>
      <c r="AE463" s="31">
        <v>0</v>
      </c>
      <c r="AF463" s="34">
        <v>2020</v>
      </c>
      <c r="AG463" s="34">
        <v>2020</v>
      </c>
      <c r="AH463" s="35">
        <v>2020</v>
      </c>
      <c r="AT463" s="20" t="e">
        <f>VLOOKUP(C463,AW:AX,2,FALSE)</f>
        <v>#N/A</v>
      </c>
    </row>
    <row r="464" spans="1:46" ht="61.5" x14ac:dyDescent="0.85">
      <c r="A464" s="20">
        <v>1</v>
      </c>
      <c r="B464" s="66">
        <f>SUBTOTAL(103,$A$22:A464)</f>
        <v>403</v>
      </c>
      <c r="C464" s="24" t="s">
        <v>1316</v>
      </c>
      <c r="D464" s="31">
        <f t="shared" si="173"/>
        <v>3146286.42</v>
      </c>
      <c r="E464" s="31">
        <v>0</v>
      </c>
      <c r="F464" s="31">
        <v>0</v>
      </c>
      <c r="G464" s="31">
        <v>0</v>
      </c>
      <c r="H464" s="31">
        <v>0</v>
      </c>
      <c r="I464" s="31">
        <v>0</v>
      </c>
      <c r="J464" s="31">
        <v>0</v>
      </c>
      <c r="K464" s="33">
        <v>0</v>
      </c>
      <c r="L464" s="31">
        <v>0</v>
      </c>
      <c r="M464" s="31">
        <v>678.5</v>
      </c>
      <c r="N464" s="31">
        <v>3099789.58</v>
      </c>
      <c r="O464" s="31">
        <v>0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f t="shared" si="174"/>
        <v>46496.84</v>
      </c>
      <c r="AD464" s="31">
        <v>0</v>
      </c>
      <c r="AE464" s="31">
        <v>0</v>
      </c>
      <c r="AF464" s="34" t="s">
        <v>274</v>
      </c>
      <c r="AG464" s="34">
        <v>2020</v>
      </c>
      <c r="AH464" s="35">
        <v>2020</v>
      </c>
    </row>
    <row r="465" spans="1:46" ht="61.5" x14ac:dyDescent="0.85">
      <c r="A465" s="20">
        <v>1</v>
      </c>
      <c r="B465" s="66">
        <f>SUBTOTAL(103,$A$22:A465)</f>
        <v>404</v>
      </c>
      <c r="C465" s="24" t="s">
        <v>1317</v>
      </c>
      <c r="D465" s="31">
        <f t="shared" si="173"/>
        <v>3254584.31</v>
      </c>
      <c r="E465" s="31">
        <v>0</v>
      </c>
      <c r="F465" s="31">
        <v>0</v>
      </c>
      <c r="G465" s="31">
        <v>0</v>
      </c>
      <c r="H465" s="31">
        <v>0</v>
      </c>
      <c r="I465" s="31">
        <v>0</v>
      </c>
      <c r="J465" s="31">
        <v>0</v>
      </c>
      <c r="K465" s="33">
        <v>0</v>
      </c>
      <c r="L465" s="31">
        <v>0</v>
      </c>
      <c r="M465" s="31">
        <v>1277.3</v>
      </c>
      <c r="N465" s="31">
        <v>3206487</v>
      </c>
      <c r="O465" s="31">
        <v>0</v>
      </c>
      <c r="P465" s="31">
        <v>0</v>
      </c>
      <c r="Q465" s="31">
        <v>0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1">
        <v>0</v>
      </c>
      <c r="Y465" s="31">
        <v>0</v>
      </c>
      <c r="Z465" s="31">
        <v>0</v>
      </c>
      <c r="AA465" s="31">
        <v>0</v>
      </c>
      <c r="AB465" s="31">
        <v>0</v>
      </c>
      <c r="AC465" s="31">
        <f t="shared" si="174"/>
        <v>48097.31</v>
      </c>
      <c r="AD465" s="31">
        <v>0</v>
      </c>
      <c r="AE465" s="31">
        <v>0</v>
      </c>
      <c r="AF465" s="34" t="s">
        <v>274</v>
      </c>
      <c r="AG465" s="34">
        <v>2020</v>
      </c>
      <c r="AH465" s="35">
        <v>2020</v>
      </c>
    </row>
    <row r="466" spans="1:46" ht="61.5" x14ac:dyDescent="0.85">
      <c r="A466" s="20">
        <v>1</v>
      </c>
      <c r="B466" s="66">
        <f>SUBTOTAL(103,$A$22:A466)</f>
        <v>405</v>
      </c>
      <c r="C466" s="24" t="s">
        <v>1318</v>
      </c>
      <c r="D466" s="31">
        <f t="shared" si="173"/>
        <v>4373146.29</v>
      </c>
      <c r="E466" s="31">
        <v>0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3">
        <v>0</v>
      </c>
      <c r="L466" s="31">
        <v>0</v>
      </c>
      <c r="M466" s="31">
        <v>0</v>
      </c>
      <c r="N466" s="31">
        <v>0</v>
      </c>
      <c r="O466" s="31">
        <v>0</v>
      </c>
      <c r="P466" s="31">
        <v>0</v>
      </c>
      <c r="Q466" s="31">
        <v>2886.45</v>
      </c>
      <c r="R466" s="31">
        <v>4308518.51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v>0</v>
      </c>
      <c r="Y466" s="31">
        <v>0</v>
      </c>
      <c r="Z466" s="31">
        <v>0</v>
      </c>
      <c r="AA466" s="31">
        <v>0</v>
      </c>
      <c r="AB466" s="31">
        <v>0</v>
      </c>
      <c r="AC466" s="31">
        <f t="shared" ref="AC466" si="175">ROUND(R466*1.5%,2)</f>
        <v>64627.78</v>
      </c>
      <c r="AD466" s="31">
        <v>0</v>
      </c>
      <c r="AE466" s="31">
        <v>0</v>
      </c>
      <c r="AF466" s="34" t="s">
        <v>274</v>
      </c>
      <c r="AG466" s="34">
        <v>2020</v>
      </c>
      <c r="AH466" s="35">
        <v>2020</v>
      </c>
    </row>
    <row r="467" spans="1:46" ht="61.5" x14ac:dyDescent="0.85">
      <c r="A467" s="20">
        <v>1</v>
      </c>
      <c r="B467" s="66">
        <f>SUBTOTAL(103,$A$22:A467)</f>
        <v>406</v>
      </c>
      <c r="C467" s="24" t="s">
        <v>1319</v>
      </c>
      <c r="D467" s="31">
        <f t="shared" si="173"/>
        <v>1452832.41</v>
      </c>
      <c r="E467" s="31">
        <v>0</v>
      </c>
      <c r="F467" s="31">
        <v>0</v>
      </c>
      <c r="G467" s="31">
        <v>0</v>
      </c>
      <c r="H467" s="31">
        <v>0</v>
      </c>
      <c r="I467" s="31">
        <v>0</v>
      </c>
      <c r="J467" s="31">
        <v>0</v>
      </c>
      <c r="K467" s="33">
        <v>0</v>
      </c>
      <c r="L467" s="31">
        <v>0</v>
      </c>
      <c r="M467" s="31">
        <v>253</v>
      </c>
      <c r="N467" s="31">
        <f>931361.98+500000</f>
        <v>1431361.98</v>
      </c>
      <c r="O467" s="31">
        <v>0</v>
      </c>
      <c r="P467" s="31">
        <v>0</v>
      </c>
      <c r="Q467" s="31">
        <v>0</v>
      </c>
      <c r="R467" s="31">
        <v>0</v>
      </c>
      <c r="S467" s="31">
        <v>0</v>
      </c>
      <c r="T467" s="31">
        <v>0</v>
      </c>
      <c r="U467" s="31">
        <v>0</v>
      </c>
      <c r="V467" s="31">
        <v>0</v>
      </c>
      <c r="W467" s="31">
        <v>0</v>
      </c>
      <c r="X467" s="31">
        <v>0</v>
      </c>
      <c r="Y467" s="31">
        <v>0</v>
      </c>
      <c r="Z467" s="31">
        <v>0</v>
      </c>
      <c r="AA467" s="31">
        <v>0</v>
      </c>
      <c r="AB467" s="31">
        <v>0</v>
      </c>
      <c r="AC467" s="31">
        <f t="shared" ref="AC467:AC468" si="176">ROUND(N467*1.5%,2)</f>
        <v>21470.43</v>
      </c>
      <c r="AD467" s="31">
        <v>0</v>
      </c>
      <c r="AE467" s="31">
        <v>0</v>
      </c>
      <c r="AF467" s="34" t="s">
        <v>274</v>
      </c>
      <c r="AG467" s="34">
        <v>2020</v>
      </c>
      <c r="AH467" s="35">
        <v>2020</v>
      </c>
    </row>
    <row r="468" spans="1:46" ht="61.5" x14ac:dyDescent="0.85">
      <c r="A468" s="20">
        <v>1</v>
      </c>
      <c r="B468" s="66">
        <f>SUBTOTAL(103,$A$22:A468)</f>
        <v>407</v>
      </c>
      <c r="C468" s="24" t="s">
        <v>1320</v>
      </c>
      <c r="D468" s="31">
        <f t="shared" si="173"/>
        <v>1675485.4700000002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3">
        <v>0</v>
      </c>
      <c r="L468" s="31">
        <v>0</v>
      </c>
      <c r="M468" s="31">
        <v>351</v>
      </c>
      <c r="N468" s="31">
        <f>1659940-9215.4</f>
        <v>1650724.6</v>
      </c>
      <c r="O468" s="31">
        <v>0</v>
      </c>
      <c r="P468" s="31">
        <v>0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v>0</v>
      </c>
      <c r="Y468" s="31">
        <v>0</v>
      </c>
      <c r="Z468" s="31">
        <v>0</v>
      </c>
      <c r="AA468" s="31">
        <v>0</v>
      </c>
      <c r="AB468" s="31">
        <v>0</v>
      </c>
      <c r="AC468" s="31">
        <f t="shared" si="176"/>
        <v>24760.87</v>
      </c>
      <c r="AD468" s="31">
        <v>0</v>
      </c>
      <c r="AE468" s="31">
        <v>0</v>
      </c>
      <c r="AF468" s="34" t="s">
        <v>274</v>
      </c>
      <c r="AG468" s="34">
        <v>2020</v>
      </c>
      <c r="AH468" s="35">
        <v>2020</v>
      </c>
    </row>
    <row r="469" spans="1:46" ht="61.5" x14ac:dyDescent="0.85">
      <c r="B469" s="24" t="s">
        <v>919</v>
      </c>
      <c r="C469" s="117"/>
      <c r="D469" s="31">
        <f>D470</f>
        <v>2521615.3599999999</v>
      </c>
      <c r="E469" s="31">
        <f t="shared" ref="E469:AE469" si="177">E470</f>
        <v>0</v>
      </c>
      <c r="F469" s="31">
        <f t="shared" si="177"/>
        <v>0</v>
      </c>
      <c r="G469" s="31">
        <f t="shared" si="177"/>
        <v>0</v>
      </c>
      <c r="H469" s="31">
        <f t="shared" si="177"/>
        <v>0</v>
      </c>
      <c r="I469" s="31">
        <f t="shared" si="177"/>
        <v>0</v>
      </c>
      <c r="J469" s="31">
        <f t="shared" si="177"/>
        <v>0</v>
      </c>
      <c r="K469" s="33">
        <f t="shared" si="177"/>
        <v>0</v>
      </c>
      <c r="L469" s="31">
        <f t="shared" si="177"/>
        <v>0</v>
      </c>
      <c r="M469" s="31">
        <f t="shared" si="177"/>
        <v>511.8</v>
      </c>
      <c r="N469" s="31">
        <f t="shared" si="177"/>
        <v>2366123.5099999998</v>
      </c>
      <c r="O469" s="31">
        <f t="shared" si="177"/>
        <v>0</v>
      </c>
      <c r="P469" s="31">
        <f t="shared" si="177"/>
        <v>0</v>
      </c>
      <c r="Q469" s="31">
        <f t="shared" si="177"/>
        <v>0</v>
      </c>
      <c r="R469" s="31">
        <f t="shared" si="177"/>
        <v>0</v>
      </c>
      <c r="S469" s="31">
        <f t="shared" si="177"/>
        <v>0</v>
      </c>
      <c r="T469" s="31">
        <f t="shared" si="177"/>
        <v>0</v>
      </c>
      <c r="U469" s="31">
        <f t="shared" si="177"/>
        <v>0</v>
      </c>
      <c r="V469" s="31">
        <f t="shared" si="177"/>
        <v>0</v>
      </c>
      <c r="W469" s="31">
        <f t="shared" si="177"/>
        <v>0</v>
      </c>
      <c r="X469" s="31">
        <f t="shared" si="177"/>
        <v>0</v>
      </c>
      <c r="Y469" s="31">
        <f t="shared" si="177"/>
        <v>0</v>
      </c>
      <c r="Z469" s="31">
        <f t="shared" si="177"/>
        <v>0</v>
      </c>
      <c r="AA469" s="31">
        <f t="shared" si="177"/>
        <v>0</v>
      </c>
      <c r="AB469" s="31">
        <f t="shared" si="177"/>
        <v>0</v>
      </c>
      <c r="AC469" s="31">
        <f t="shared" si="177"/>
        <v>35491.85</v>
      </c>
      <c r="AD469" s="31">
        <f t="shared" si="177"/>
        <v>0</v>
      </c>
      <c r="AE469" s="31">
        <f t="shared" si="177"/>
        <v>120000</v>
      </c>
      <c r="AF469" s="72" t="s">
        <v>794</v>
      </c>
      <c r="AG469" s="72" t="s">
        <v>794</v>
      </c>
      <c r="AH469" s="91" t="s">
        <v>794</v>
      </c>
    </row>
    <row r="470" spans="1:46" ht="61.5" x14ac:dyDescent="0.85">
      <c r="A470" s="20">
        <v>1</v>
      </c>
      <c r="B470" s="66">
        <f>SUBTOTAL(103,$A$22:A470)</f>
        <v>408</v>
      </c>
      <c r="C470" s="24" t="s">
        <v>1324</v>
      </c>
      <c r="D470" s="31">
        <f t="shared" ref="D470:D472" si="178">E470+F470+G470+H470+I470+J470+L470+N470+P470+R470+T470+U470+V470+W470+X470+Y470+Z470+AA470+AB470+AC470+AD470+AE470</f>
        <v>2521615.3599999999</v>
      </c>
      <c r="E470" s="31">
        <v>0</v>
      </c>
      <c r="F470" s="31">
        <v>0</v>
      </c>
      <c r="G470" s="31">
        <v>0</v>
      </c>
      <c r="H470" s="31">
        <v>0</v>
      </c>
      <c r="I470" s="31">
        <v>0</v>
      </c>
      <c r="J470" s="31">
        <v>0</v>
      </c>
      <c r="K470" s="33">
        <v>0</v>
      </c>
      <c r="L470" s="31">
        <v>0</v>
      </c>
      <c r="M470" s="31">
        <v>511.8</v>
      </c>
      <c r="N470" s="31">
        <f>2095100.24+271023.27</f>
        <v>2366123.5099999998</v>
      </c>
      <c r="O470" s="31">
        <v>0</v>
      </c>
      <c r="P470" s="31">
        <v>0</v>
      </c>
      <c r="Q470" s="31">
        <v>0</v>
      </c>
      <c r="R470" s="31">
        <v>0</v>
      </c>
      <c r="S470" s="31">
        <v>0</v>
      </c>
      <c r="T470" s="31">
        <v>0</v>
      </c>
      <c r="U470" s="31">
        <v>0</v>
      </c>
      <c r="V470" s="31">
        <v>0</v>
      </c>
      <c r="W470" s="31">
        <v>0</v>
      </c>
      <c r="X470" s="31">
        <v>0</v>
      </c>
      <c r="Y470" s="31">
        <v>0</v>
      </c>
      <c r="Z470" s="31">
        <v>0</v>
      </c>
      <c r="AA470" s="31">
        <v>0</v>
      </c>
      <c r="AB470" s="31">
        <v>0</v>
      </c>
      <c r="AC470" s="31">
        <f>ROUND(N470*1.5%,2)</f>
        <v>35491.85</v>
      </c>
      <c r="AD470" s="31">
        <v>0</v>
      </c>
      <c r="AE470" s="31">
        <v>120000</v>
      </c>
      <c r="AF470" s="34" t="s">
        <v>274</v>
      </c>
      <c r="AG470" s="34">
        <v>2020</v>
      </c>
      <c r="AH470" s="35">
        <v>2020</v>
      </c>
    </row>
    <row r="471" spans="1:46" ht="61.5" x14ac:dyDescent="0.85">
      <c r="B471" s="24" t="s">
        <v>927</v>
      </c>
      <c r="C471" s="24"/>
      <c r="D471" s="31">
        <f>D472</f>
        <v>3726576.42</v>
      </c>
      <c r="E471" s="31">
        <f t="shared" ref="E471:AE471" si="179">E472</f>
        <v>0</v>
      </c>
      <c r="F471" s="31">
        <f t="shared" si="179"/>
        <v>0</v>
      </c>
      <c r="G471" s="31">
        <f t="shared" si="179"/>
        <v>0</v>
      </c>
      <c r="H471" s="31">
        <f t="shared" si="179"/>
        <v>0</v>
      </c>
      <c r="I471" s="31">
        <f t="shared" si="179"/>
        <v>0</v>
      </c>
      <c r="J471" s="31">
        <f t="shared" si="179"/>
        <v>0</v>
      </c>
      <c r="K471" s="33">
        <f t="shared" si="179"/>
        <v>0</v>
      </c>
      <c r="L471" s="31">
        <f t="shared" si="179"/>
        <v>0</v>
      </c>
      <c r="M471" s="31">
        <f t="shared" si="179"/>
        <v>817</v>
      </c>
      <c r="N471" s="31">
        <f t="shared" si="179"/>
        <v>3709922.58</v>
      </c>
      <c r="O471" s="31">
        <f t="shared" si="179"/>
        <v>0</v>
      </c>
      <c r="P471" s="31">
        <f t="shared" si="179"/>
        <v>0</v>
      </c>
      <c r="Q471" s="31">
        <f t="shared" si="179"/>
        <v>0</v>
      </c>
      <c r="R471" s="31">
        <f t="shared" si="179"/>
        <v>0</v>
      </c>
      <c r="S471" s="31">
        <f t="shared" si="179"/>
        <v>0</v>
      </c>
      <c r="T471" s="31">
        <f t="shared" si="179"/>
        <v>0</v>
      </c>
      <c r="U471" s="31">
        <f t="shared" si="179"/>
        <v>0</v>
      </c>
      <c r="V471" s="31">
        <f t="shared" si="179"/>
        <v>0</v>
      </c>
      <c r="W471" s="31">
        <f t="shared" si="179"/>
        <v>0</v>
      </c>
      <c r="X471" s="31">
        <f t="shared" si="179"/>
        <v>0</v>
      </c>
      <c r="Y471" s="31">
        <f t="shared" si="179"/>
        <v>0</v>
      </c>
      <c r="Z471" s="31">
        <f t="shared" si="179"/>
        <v>0</v>
      </c>
      <c r="AA471" s="31">
        <f t="shared" si="179"/>
        <v>0</v>
      </c>
      <c r="AB471" s="31">
        <f t="shared" si="179"/>
        <v>0</v>
      </c>
      <c r="AC471" s="31">
        <f t="shared" si="179"/>
        <v>16653.84</v>
      </c>
      <c r="AD471" s="31">
        <f t="shared" si="179"/>
        <v>0</v>
      </c>
      <c r="AE471" s="31">
        <f t="shared" si="179"/>
        <v>0</v>
      </c>
      <c r="AF471" s="72" t="s">
        <v>794</v>
      </c>
      <c r="AG471" s="72" t="s">
        <v>794</v>
      </c>
      <c r="AH471" s="91" t="s">
        <v>794</v>
      </c>
      <c r="AT471" s="20" t="e">
        <f>VLOOKUP(C471,AW:AX,2,FALSE)</f>
        <v>#N/A</v>
      </c>
    </row>
    <row r="472" spans="1:46" ht="61.5" x14ac:dyDescent="0.85">
      <c r="A472" s="20">
        <v>1</v>
      </c>
      <c r="B472" s="66">
        <f>SUBTOTAL(103,$A$22:A472)</f>
        <v>409</v>
      </c>
      <c r="C472" s="24" t="s">
        <v>1650</v>
      </c>
      <c r="D472" s="31">
        <f t="shared" si="178"/>
        <v>3726576.42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3">
        <v>0</v>
      </c>
      <c r="L472" s="31">
        <v>0</v>
      </c>
      <c r="M472" s="31">
        <v>817</v>
      </c>
      <c r="N472" s="31">
        <v>3709922.58</v>
      </c>
      <c r="O472" s="31">
        <v>0</v>
      </c>
      <c r="P472" s="31">
        <v>0</v>
      </c>
      <c r="Q472" s="31">
        <v>0</v>
      </c>
      <c r="R472" s="31">
        <v>0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v>0</v>
      </c>
      <c r="Y472" s="31">
        <v>0</v>
      </c>
      <c r="Z472" s="31">
        <v>0</v>
      </c>
      <c r="AA472" s="31">
        <v>0</v>
      </c>
      <c r="AB472" s="31">
        <v>0</v>
      </c>
      <c r="AC472" s="31">
        <v>16653.84</v>
      </c>
      <c r="AD472" s="31">
        <v>0</v>
      </c>
      <c r="AE472" s="31">
        <v>0</v>
      </c>
      <c r="AF472" s="34" t="s">
        <v>274</v>
      </c>
      <c r="AG472" s="34">
        <v>2020</v>
      </c>
      <c r="AH472" s="35">
        <v>2020</v>
      </c>
    </row>
    <row r="473" spans="1:46" ht="61.5" x14ac:dyDescent="0.85">
      <c r="B473" s="24" t="s">
        <v>890</v>
      </c>
      <c r="C473" s="117"/>
      <c r="D473" s="31">
        <f>D474</f>
        <v>5198352.66</v>
      </c>
      <c r="E473" s="31">
        <f t="shared" ref="E473:AE473" si="180">E474</f>
        <v>0</v>
      </c>
      <c r="F473" s="31">
        <f t="shared" si="180"/>
        <v>0</v>
      </c>
      <c r="G473" s="31">
        <f t="shared" si="180"/>
        <v>0</v>
      </c>
      <c r="H473" s="31">
        <f t="shared" si="180"/>
        <v>0</v>
      </c>
      <c r="I473" s="31">
        <f t="shared" si="180"/>
        <v>0</v>
      </c>
      <c r="J473" s="31">
        <f t="shared" si="180"/>
        <v>0</v>
      </c>
      <c r="K473" s="33">
        <f t="shared" si="180"/>
        <v>0</v>
      </c>
      <c r="L473" s="31">
        <f t="shared" si="180"/>
        <v>0</v>
      </c>
      <c r="M473" s="31">
        <f t="shared" si="180"/>
        <v>854</v>
      </c>
      <c r="N473" s="31">
        <f t="shared" si="180"/>
        <v>5059349.3</v>
      </c>
      <c r="O473" s="31">
        <f t="shared" si="180"/>
        <v>0</v>
      </c>
      <c r="P473" s="31">
        <f t="shared" si="180"/>
        <v>0</v>
      </c>
      <c r="Q473" s="31">
        <f t="shared" si="180"/>
        <v>0</v>
      </c>
      <c r="R473" s="31">
        <f t="shared" si="180"/>
        <v>0</v>
      </c>
      <c r="S473" s="31">
        <f t="shared" si="180"/>
        <v>0</v>
      </c>
      <c r="T473" s="31">
        <f t="shared" si="180"/>
        <v>0</v>
      </c>
      <c r="U473" s="31">
        <f t="shared" si="180"/>
        <v>0</v>
      </c>
      <c r="V473" s="31">
        <f t="shared" si="180"/>
        <v>0</v>
      </c>
      <c r="W473" s="31">
        <f t="shared" si="180"/>
        <v>0</v>
      </c>
      <c r="X473" s="31">
        <f t="shared" si="180"/>
        <v>0</v>
      </c>
      <c r="Y473" s="31">
        <f t="shared" si="180"/>
        <v>0</v>
      </c>
      <c r="Z473" s="31">
        <f t="shared" si="180"/>
        <v>0</v>
      </c>
      <c r="AA473" s="31">
        <f t="shared" si="180"/>
        <v>0</v>
      </c>
      <c r="AB473" s="31">
        <f t="shared" si="180"/>
        <v>0</v>
      </c>
      <c r="AC473" s="31">
        <f t="shared" si="180"/>
        <v>75890.240000000005</v>
      </c>
      <c r="AD473" s="31">
        <f t="shared" si="180"/>
        <v>63113.120000000003</v>
      </c>
      <c r="AE473" s="31">
        <f t="shared" si="180"/>
        <v>0</v>
      </c>
      <c r="AF473" s="72" t="s">
        <v>794</v>
      </c>
      <c r="AG473" s="72" t="s">
        <v>794</v>
      </c>
      <c r="AH473" s="91" t="s">
        <v>794</v>
      </c>
      <c r="AT473" s="20" t="e">
        <f>VLOOKUP(C473,AW:AX,2,FALSE)</f>
        <v>#N/A</v>
      </c>
    </row>
    <row r="474" spans="1:46" ht="61.5" x14ac:dyDescent="0.85">
      <c r="A474" s="20">
        <v>1</v>
      </c>
      <c r="B474" s="66">
        <f>SUBTOTAL(103,$A$22:A474)</f>
        <v>410</v>
      </c>
      <c r="C474" s="24" t="s">
        <v>232</v>
      </c>
      <c r="D474" s="31">
        <f t="shared" ref="D474" si="181">E474+F474+G474+H474+I474+J474+L474+N474+P474+R474+T474+U474+V474+W474+X474+Y474+Z474+AA474+AB474+AC474+AD474+AE474</f>
        <v>5198352.66</v>
      </c>
      <c r="E474" s="31">
        <v>0</v>
      </c>
      <c r="F474" s="31">
        <v>0</v>
      </c>
      <c r="G474" s="31">
        <v>0</v>
      </c>
      <c r="H474" s="31">
        <v>0</v>
      </c>
      <c r="I474" s="31">
        <v>0</v>
      </c>
      <c r="J474" s="31">
        <v>0</v>
      </c>
      <c r="K474" s="33">
        <v>0</v>
      </c>
      <c r="L474" s="31">
        <v>0</v>
      </c>
      <c r="M474" s="31">
        <v>854</v>
      </c>
      <c r="N474" s="31">
        <f>4225152.71+1025133.93-190937.34</f>
        <v>5059349.3</v>
      </c>
      <c r="O474" s="31">
        <v>0</v>
      </c>
      <c r="P474" s="31">
        <v>0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v>0</v>
      </c>
      <c r="Y474" s="31">
        <v>0</v>
      </c>
      <c r="Z474" s="31">
        <v>0</v>
      </c>
      <c r="AA474" s="31">
        <v>0</v>
      </c>
      <c r="AB474" s="31">
        <v>0</v>
      </c>
      <c r="AC474" s="31">
        <f>ROUND(N474*1.5%,2)</f>
        <v>75890.240000000005</v>
      </c>
      <c r="AD474" s="31">
        <v>63113.120000000003</v>
      </c>
      <c r="AE474" s="31">
        <v>0</v>
      </c>
      <c r="AF474" s="34">
        <v>2020</v>
      </c>
      <c r="AG474" s="34">
        <v>2020</v>
      </c>
      <c r="AH474" s="35">
        <v>2020</v>
      </c>
      <c r="AT474" s="20" t="e">
        <f>VLOOKUP(C474,AW:AX,2,FALSE)</f>
        <v>#N/A</v>
      </c>
    </row>
    <row r="475" spans="1:46" ht="61.5" x14ac:dyDescent="0.85">
      <c r="B475" s="24" t="s">
        <v>891</v>
      </c>
      <c r="C475" s="24"/>
      <c r="D475" s="31">
        <f t="shared" ref="D475:AE475" si="182">D476</f>
        <v>1821119.2799999998</v>
      </c>
      <c r="E475" s="31">
        <f t="shared" si="182"/>
        <v>0</v>
      </c>
      <c r="F475" s="31">
        <f t="shared" si="182"/>
        <v>0</v>
      </c>
      <c r="G475" s="31">
        <f t="shared" si="182"/>
        <v>0</v>
      </c>
      <c r="H475" s="31">
        <f t="shared" si="182"/>
        <v>0</v>
      </c>
      <c r="I475" s="31">
        <f t="shared" si="182"/>
        <v>0</v>
      </c>
      <c r="J475" s="31">
        <f t="shared" si="182"/>
        <v>0</v>
      </c>
      <c r="K475" s="33">
        <f t="shared" si="182"/>
        <v>0</v>
      </c>
      <c r="L475" s="31">
        <f t="shared" si="182"/>
        <v>0</v>
      </c>
      <c r="M475" s="31">
        <f t="shared" si="182"/>
        <v>295</v>
      </c>
      <c r="N475" s="31">
        <f t="shared" si="182"/>
        <v>1755495.67</v>
      </c>
      <c r="O475" s="31">
        <f t="shared" si="182"/>
        <v>0</v>
      </c>
      <c r="P475" s="31">
        <f t="shared" si="182"/>
        <v>0</v>
      </c>
      <c r="Q475" s="31">
        <f t="shared" si="182"/>
        <v>0</v>
      </c>
      <c r="R475" s="31">
        <f t="shared" si="182"/>
        <v>0</v>
      </c>
      <c r="S475" s="31">
        <f t="shared" si="182"/>
        <v>0</v>
      </c>
      <c r="T475" s="31">
        <f t="shared" si="182"/>
        <v>0</v>
      </c>
      <c r="U475" s="31">
        <f t="shared" si="182"/>
        <v>0</v>
      </c>
      <c r="V475" s="31">
        <f t="shared" si="182"/>
        <v>0</v>
      </c>
      <c r="W475" s="31">
        <f t="shared" si="182"/>
        <v>0</v>
      </c>
      <c r="X475" s="31">
        <f t="shared" si="182"/>
        <v>0</v>
      </c>
      <c r="Y475" s="31">
        <f t="shared" si="182"/>
        <v>0</v>
      </c>
      <c r="Z475" s="31">
        <f t="shared" si="182"/>
        <v>0</v>
      </c>
      <c r="AA475" s="31">
        <f t="shared" si="182"/>
        <v>0</v>
      </c>
      <c r="AB475" s="31">
        <f t="shared" si="182"/>
        <v>0</v>
      </c>
      <c r="AC475" s="31">
        <f t="shared" si="182"/>
        <v>26332.44</v>
      </c>
      <c r="AD475" s="31">
        <f t="shared" si="182"/>
        <v>39291.17</v>
      </c>
      <c r="AE475" s="31">
        <f t="shared" si="182"/>
        <v>0</v>
      </c>
      <c r="AF475" s="72" t="s">
        <v>794</v>
      </c>
      <c r="AG475" s="72" t="s">
        <v>794</v>
      </c>
      <c r="AH475" s="91" t="s">
        <v>794</v>
      </c>
      <c r="AT475" s="20" t="e">
        <f>VLOOKUP(C475,AW:AX,2,FALSE)</f>
        <v>#N/A</v>
      </c>
    </row>
    <row r="476" spans="1:46" ht="61.5" x14ac:dyDescent="0.85">
      <c r="A476" s="20">
        <v>1</v>
      </c>
      <c r="B476" s="66">
        <f>SUBTOTAL(103,$A$22:A476)</f>
        <v>411</v>
      </c>
      <c r="C476" s="24" t="s">
        <v>235</v>
      </c>
      <c r="D476" s="31">
        <f t="shared" ref="D476:D478" si="183">E476+F476+G476+H476+I476+J476+L476+N476+P476+R476+T476+U476+V476+W476+X476+Y476+Z476+AA476+AB476+AC476+AD476+AE476</f>
        <v>1821119.2799999998</v>
      </c>
      <c r="E476" s="31">
        <v>0</v>
      </c>
      <c r="F476" s="31">
        <v>0</v>
      </c>
      <c r="G476" s="31">
        <v>0</v>
      </c>
      <c r="H476" s="31">
        <v>0</v>
      </c>
      <c r="I476" s="31">
        <v>0</v>
      </c>
      <c r="J476" s="31">
        <v>0</v>
      </c>
      <c r="K476" s="33">
        <v>0</v>
      </c>
      <c r="L476" s="31">
        <v>0</v>
      </c>
      <c r="M476" s="31">
        <v>295</v>
      </c>
      <c r="N476" s="31">
        <v>1755495.67</v>
      </c>
      <c r="O476" s="31">
        <v>0</v>
      </c>
      <c r="P476" s="31">
        <v>0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v>0</v>
      </c>
      <c r="Y476" s="31">
        <v>0</v>
      </c>
      <c r="Z476" s="31">
        <v>0</v>
      </c>
      <c r="AA476" s="31">
        <v>0</v>
      </c>
      <c r="AB476" s="31">
        <v>0</v>
      </c>
      <c r="AC476" s="31">
        <f>ROUND(N476*1.5%,2)</f>
        <v>26332.44</v>
      </c>
      <c r="AD476" s="31">
        <v>39291.17</v>
      </c>
      <c r="AE476" s="31">
        <v>0</v>
      </c>
      <c r="AF476" s="34">
        <v>2020</v>
      </c>
      <c r="AG476" s="34">
        <v>2020</v>
      </c>
      <c r="AH476" s="35">
        <v>2020</v>
      </c>
      <c r="AT476" s="20" t="e">
        <f>VLOOKUP(C476,AW:AX,2,FALSE)</f>
        <v>#N/A</v>
      </c>
    </row>
    <row r="477" spans="1:46" ht="61.5" x14ac:dyDescent="0.85">
      <c r="B477" s="24" t="s">
        <v>1362</v>
      </c>
      <c r="C477" s="24"/>
      <c r="D477" s="31">
        <f>D478</f>
        <v>4609049.76</v>
      </c>
      <c r="E477" s="31">
        <f t="shared" ref="E477:AE477" si="184">E478</f>
        <v>0</v>
      </c>
      <c r="F477" s="31">
        <f t="shared" si="184"/>
        <v>0</v>
      </c>
      <c r="G477" s="31">
        <f t="shared" si="184"/>
        <v>0</v>
      </c>
      <c r="H477" s="31">
        <f t="shared" si="184"/>
        <v>0</v>
      </c>
      <c r="I477" s="31">
        <f t="shared" si="184"/>
        <v>0</v>
      </c>
      <c r="J477" s="31">
        <f t="shared" si="184"/>
        <v>0</v>
      </c>
      <c r="K477" s="33">
        <f t="shared" si="184"/>
        <v>0</v>
      </c>
      <c r="L477" s="31">
        <f t="shared" si="184"/>
        <v>0</v>
      </c>
      <c r="M477" s="31">
        <f t="shared" si="184"/>
        <v>890</v>
      </c>
      <c r="N477" s="31">
        <f t="shared" si="184"/>
        <v>4393152.47</v>
      </c>
      <c r="O477" s="31">
        <f t="shared" si="184"/>
        <v>0</v>
      </c>
      <c r="P477" s="31">
        <f t="shared" si="184"/>
        <v>0</v>
      </c>
      <c r="Q477" s="31">
        <f t="shared" si="184"/>
        <v>0</v>
      </c>
      <c r="R477" s="31">
        <f t="shared" si="184"/>
        <v>0</v>
      </c>
      <c r="S477" s="31">
        <f t="shared" si="184"/>
        <v>0</v>
      </c>
      <c r="T477" s="31">
        <f t="shared" si="184"/>
        <v>0</v>
      </c>
      <c r="U477" s="31">
        <f t="shared" si="184"/>
        <v>0</v>
      </c>
      <c r="V477" s="31">
        <f t="shared" si="184"/>
        <v>0</v>
      </c>
      <c r="W477" s="31">
        <f t="shared" si="184"/>
        <v>0</v>
      </c>
      <c r="X477" s="31">
        <f t="shared" si="184"/>
        <v>0</v>
      </c>
      <c r="Y477" s="31">
        <f t="shared" si="184"/>
        <v>0</v>
      </c>
      <c r="Z477" s="31">
        <f t="shared" si="184"/>
        <v>0</v>
      </c>
      <c r="AA477" s="31">
        <f t="shared" si="184"/>
        <v>0</v>
      </c>
      <c r="AB477" s="31">
        <f t="shared" si="184"/>
        <v>0</v>
      </c>
      <c r="AC477" s="31">
        <f t="shared" si="184"/>
        <v>65897.289999999994</v>
      </c>
      <c r="AD477" s="31">
        <f t="shared" si="184"/>
        <v>150000</v>
      </c>
      <c r="AE477" s="31">
        <f t="shared" si="184"/>
        <v>0</v>
      </c>
      <c r="AF477" s="72" t="s">
        <v>794</v>
      </c>
      <c r="AG477" s="72" t="s">
        <v>794</v>
      </c>
      <c r="AH477" s="91" t="s">
        <v>794</v>
      </c>
    </row>
    <row r="478" spans="1:46" ht="61.5" x14ac:dyDescent="0.85">
      <c r="A478" s="20">
        <v>1</v>
      </c>
      <c r="B478" s="66">
        <f>SUBTOTAL(103,$A$22:A478)</f>
        <v>412</v>
      </c>
      <c r="C478" s="24" t="s">
        <v>1363</v>
      </c>
      <c r="D478" s="31">
        <f t="shared" si="183"/>
        <v>4609049.76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3">
        <v>0</v>
      </c>
      <c r="L478" s="31">
        <v>0</v>
      </c>
      <c r="M478" s="31">
        <v>890</v>
      </c>
      <c r="N478" s="31">
        <f>4393152.47</f>
        <v>4393152.47</v>
      </c>
      <c r="O478" s="31">
        <v>0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f>ROUND(N478*1.5%,2)</f>
        <v>65897.289999999994</v>
      </c>
      <c r="AD478" s="31">
        <v>150000</v>
      </c>
      <c r="AE478" s="31">
        <v>0</v>
      </c>
      <c r="AF478" s="34">
        <v>2020</v>
      </c>
      <c r="AG478" s="34">
        <v>2020</v>
      </c>
      <c r="AH478" s="35">
        <v>2020</v>
      </c>
    </row>
    <row r="479" spans="1:46" ht="61.5" x14ac:dyDescent="0.85">
      <c r="B479" s="24" t="s">
        <v>892</v>
      </c>
      <c r="C479" s="117"/>
      <c r="D479" s="31">
        <f t="shared" ref="D479:AE479" si="185">D480</f>
        <v>5368567.4000000004</v>
      </c>
      <c r="E479" s="31">
        <f t="shared" si="185"/>
        <v>0</v>
      </c>
      <c r="F479" s="31">
        <f t="shared" si="185"/>
        <v>0</v>
      </c>
      <c r="G479" s="31">
        <f t="shared" si="185"/>
        <v>0</v>
      </c>
      <c r="H479" s="31">
        <f t="shared" si="185"/>
        <v>0</v>
      </c>
      <c r="I479" s="31">
        <f t="shared" si="185"/>
        <v>0</v>
      </c>
      <c r="J479" s="31">
        <f t="shared" si="185"/>
        <v>0</v>
      </c>
      <c r="K479" s="33">
        <f t="shared" si="185"/>
        <v>0</v>
      </c>
      <c r="L479" s="31">
        <f t="shared" si="185"/>
        <v>0</v>
      </c>
      <c r="M479" s="31">
        <f t="shared" si="185"/>
        <v>980</v>
      </c>
      <c r="N479" s="31">
        <f t="shared" si="185"/>
        <v>5141445.71</v>
      </c>
      <c r="O479" s="31">
        <f t="shared" si="185"/>
        <v>0</v>
      </c>
      <c r="P479" s="31">
        <f t="shared" si="185"/>
        <v>0</v>
      </c>
      <c r="Q479" s="31">
        <f t="shared" si="185"/>
        <v>0</v>
      </c>
      <c r="R479" s="31">
        <f t="shared" si="185"/>
        <v>0</v>
      </c>
      <c r="S479" s="31">
        <f t="shared" si="185"/>
        <v>0</v>
      </c>
      <c r="T479" s="31">
        <f t="shared" si="185"/>
        <v>0</v>
      </c>
      <c r="U479" s="31">
        <f t="shared" si="185"/>
        <v>0</v>
      </c>
      <c r="V479" s="31">
        <f t="shared" si="185"/>
        <v>0</v>
      </c>
      <c r="W479" s="31">
        <f t="shared" si="185"/>
        <v>0</v>
      </c>
      <c r="X479" s="31">
        <f t="shared" si="185"/>
        <v>0</v>
      </c>
      <c r="Y479" s="31">
        <f t="shared" si="185"/>
        <v>0</v>
      </c>
      <c r="Z479" s="31">
        <f t="shared" si="185"/>
        <v>0</v>
      </c>
      <c r="AA479" s="31">
        <f t="shared" si="185"/>
        <v>0</v>
      </c>
      <c r="AB479" s="31">
        <f t="shared" si="185"/>
        <v>0</v>
      </c>
      <c r="AC479" s="31">
        <f t="shared" si="185"/>
        <v>77121.69</v>
      </c>
      <c r="AD479" s="31">
        <f t="shared" si="185"/>
        <v>150000</v>
      </c>
      <c r="AE479" s="31">
        <f t="shared" si="185"/>
        <v>0</v>
      </c>
      <c r="AF479" s="72" t="s">
        <v>794</v>
      </c>
      <c r="AG479" s="72" t="s">
        <v>794</v>
      </c>
      <c r="AH479" s="91" t="s">
        <v>794</v>
      </c>
      <c r="AT479" s="20" t="e">
        <f t="shared" ref="AT479:AT485" si="186">VLOOKUP(C479,AW:AX,2,FALSE)</f>
        <v>#N/A</v>
      </c>
    </row>
    <row r="480" spans="1:46" ht="61.5" x14ac:dyDescent="0.85">
      <c r="A480" s="20">
        <v>1</v>
      </c>
      <c r="B480" s="66">
        <f>SUBTOTAL(103,$A$22:A480)</f>
        <v>413</v>
      </c>
      <c r="C480" s="24" t="s">
        <v>141</v>
      </c>
      <c r="D480" s="31">
        <f t="shared" ref="D480" si="187">E480+F480+G480+H480+I480+J480+L480+N480+P480+R480+T480+U480+V480+W480+X480+Y480+Z480+AA480+AB480+AC480+AD480+AE480</f>
        <v>5368567.4000000004</v>
      </c>
      <c r="E480" s="31">
        <v>0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3">
        <v>0</v>
      </c>
      <c r="L480" s="31">
        <v>0</v>
      </c>
      <c r="M480" s="31">
        <v>980</v>
      </c>
      <c r="N480" s="31">
        <v>5141445.71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  <c r="V480" s="31">
        <v>0</v>
      </c>
      <c r="W480" s="31">
        <v>0</v>
      </c>
      <c r="X480" s="31">
        <v>0</v>
      </c>
      <c r="Y480" s="31">
        <v>0</v>
      </c>
      <c r="Z480" s="31">
        <v>0</v>
      </c>
      <c r="AA480" s="31">
        <v>0</v>
      </c>
      <c r="AB480" s="31">
        <v>0</v>
      </c>
      <c r="AC480" s="31">
        <f>ROUND(N480*1.5%,2)</f>
        <v>77121.69</v>
      </c>
      <c r="AD480" s="31">
        <f>155511.19-5511.19</f>
        <v>150000</v>
      </c>
      <c r="AE480" s="31">
        <v>0</v>
      </c>
      <c r="AF480" s="34">
        <v>2020</v>
      </c>
      <c r="AG480" s="34">
        <v>2020</v>
      </c>
      <c r="AH480" s="35">
        <v>2020</v>
      </c>
      <c r="AT480" s="20" t="e">
        <f t="shared" si="186"/>
        <v>#N/A</v>
      </c>
    </row>
    <row r="481" spans="1:80" ht="61.5" x14ac:dyDescent="0.85">
      <c r="B481" s="24" t="s">
        <v>893</v>
      </c>
      <c r="C481" s="24"/>
      <c r="D481" s="31">
        <f t="shared" ref="D481:AE481" si="188">D482</f>
        <v>2682382.0500000003</v>
      </c>
      <c r="E481" s="31">
        <f t="shared" si="188"/>
        <v>0</v>
      </c>
      <c r="F481" s="31">
        <f t="shared" si="188"/>
        <v>0</v>
      </c>
      <c r="G481" s="31">
        <f t="shared" si="188"/>
        <v>0</v>
      </c>
      <c r="H481" s="31">
        <f t="shared" si="188"/>
        <v>0</v>
      </c>
      <c r="I481" s="31">
        <f t="shared" si="188"/>
        <v>0</v>
      </c>
      <c r="J481" s="31">
        <f t="shared" si="188"/>
        <v>0</v>
      </c>
      <c r="K481" s="33">
        <f t="shared" si="188"/>
        <v>0</v>
      </c>
      <c r="L481" s="31">
        <f t="shared" si="188"/>
        <v>0</v>
      </c>
      <c r="M481" s="31">
        <f t="shared" si="188"/>
        <v>629.09712090000005</v>
      </c>
      <c r="N481" s="31">
        <f t="shared" si="188"/>
        <v>2494957.6800000002</v>
      </c>
      <c r="O481" s="31">
        <f t="shared" si="188"/>
        <v>0</v>
      </c>
      <c r="P481" s="31">
        <f t="shared" si="188"/>
        <v>0</v>
      </c>
      <c r="Q481" s="31">
        <f t="shared" si="188"/>
        <v>0</v>
      </c>
      <c r="R481" s="31">
        <f t="shared" si="188"/>
        <v>0</v>
      </c>
      <c r="S481" s="31">
        <f t="shared" si="188"/>
        <v>0</v>
      </c>
      <c r="T481" s="31">
        <f t="shared" si="188"/>
        <v>0</v>
      </c>
      <c r="U481" s="31">
        <f t="shared" si="188"/>
        <v>0</v>
      </c>
      <c r="V481" s="31">
        <f t="shared" si="188"/>
        <v>0</v>
      </c>
      <c r="W481" s="31">
        <f t="shared" si="188"/>
        <v>0</v>
      </c>
      <c r="X481" s="31">
        <f t="shared" si="188"/>
        <v>0</v>
      </c>
      <c r="Y481" s="31">
        <f t="shared" si="188"/>
        <v>0</v>
      </c>
      <c r="Z481" s="31">
        <f t="shared" si="188"/>
        <v>0</v>
      </c>
      <c r="AA481" s="31">
        <f t="shared" si="188"/>
        <v>0</v>
      </c>
      <c r="AB481" s="31">
        <f t="shared" si="188"/>
        <v>0</v>
      </c>
      <c r="AC481" s="31">
        <f t="shared" si="188"/>
        <v>37424.370000000003</v>
      </c>
      <c r="AD481" s="31">
        <f t="shared" si="188"/>
        <v>150000</v>
      </c>
      <c r="AE481" s="31">
        <f t="shared" si="188"/>
        <v>0</v>
      </c>
      <c r="AF481" s="72" t="s">
        <v>794</v>
      </c>
      <c r="AG481" s="72" t="s">
        <v>794</v>
      </c>
      <c r="AH481" s="91" t="s">
        <v>794</v>
      </c>
      <c r="AT481" s="20" t="e">
        <f t="shared" si="186"/>
        <v>#N/A</v>
      </c>
    </row>
    <row r="482" spans="1:80" ht="61.5" x14ac:dyDescent="0.85">
      <c r="A482" s="20">
        <v>1</v>
      </c>
      <c r="B482" s="66">
        <f>SUBTOTAL(103,$A$22:A482)</f>
        <v>414</v>
      </c>
      <c r="C482" s="24" t="s">
        <v>146</v>
      </c>
      <c r="D482" s="31">
        <f t="shared" ref="D482" si="189">E482+F482+G482+H482+I482+J482+L482+N482+P482+R482+T482+U482+V482+W482+X482+Y482+Z482+AA482+AB482+AC482+AD482+AE482</f>
        <v>2682382.0500000003</v>
      </c>
      <c r="E482" s="31">
        <v>0</v>
      </c>
      <c r="F482" s="31">
        <v>0</v>
      </c>
      <c r="G482" s="31">
        <v>0</v>
      </c>
      <c r="H482" s="31">
        <v>0</v>
      </c>
      <c r="I482" s="31">
        <v>0</v>
      </c>
      <c r="J482" s="31">
        <v>0</v>
      </c>
      <c r="K482" s="33">
        <v>0</v>
      </c>
      <c r="L482" s="31">
        <v>0</v>
      </c>
      <c r="M482" s="31">
        <v>629.09712090000005</v>
      </c>
      <c r="N482" s="31">
        <v>2494957.6800000002</v>
      </c>
      <c r="O482" s="31">
        <v>0</v>
      </c>
      <c r="P482" s="31">
        <v>0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v>0</v>
      </c>
      <c r="Y482" s="31">
        <v>0</v>
      </c>
      <c r="Z482" s="31">
        <v>0</v>
      </c>
      <c r="AA482" s="31">
        <v>0</v>
      </c>
      <c r="AB482" s="31">
        <v>0</v>
      </c>
      <c r="AC482" s="31">
        <f>ROUND(N482*1.5%,2)</f>
        <v>37424.370000000003</v>
      </c>
      <c r="AD482" s="31">
        <v>150000</v>
      </c>
      <c r="AE482" s="31">
        <v>0</v>
      </c>
      <c r="AF482" s="34">
        <v>2020</v>
      </c>
      <c r="AG482" s="34">
        <v>2020</v>
      </c>
      <c r="AH482" s="35">
        <v>2020</v>
      </c>
      <c r="AT482" s="20" t="e">
        <f t="shared" si="186"/>
        <v>#N/A</v>
      </c>
    </row>
    <row r="483" spans="1:80" ht="61.5" x14ac:dyDescent="0.85">
      <c r="B483" s="24" t="s">
        <v>894</v>
      </c>
      <c r="C483" s="24"/>
      <c r="D483" s="31">
        <f t="shared" ref="D483:AE483" si="190">SUM(D484:D488)</f>
        <v>11742480.740000002</v>
      </c>
      <c r="E483" s="31">
        <f t="shared" si="190"/>
        <v>0</v>
      </c>
      <c r="F483" s="31">
        <f t="shared" si="190"/>
        <v>0</v>
      </c>
      <c r="G483" s="31">
        <f t="shared" si="190"/>
        <v>0</v>
      </c>
      <c r="H483" s="31">
        <f t="shared" si="190"/>
        <v>0</v>
      </c>
      <c r="I483" s="31">
        <f t="shared" si="190"/>
        <v>0</v>
      </c>
      <c r="J483" s="31">
        <f t="shared" si="190"/>
        <v>0</v>
      </c>
      <c r="K483" s="33">
        <f t="shared" si="190"/>
        <v>0</v>
      </c>
      <c r="L483" s="31">
        <f t="shared" si="190"/>
        <v>0</v>
      </c>
      <c r="M483" s="31">
        <f t="shared" si="190"/>
        <v>1184.58</v>
      </c>
      <c r="N483" s="31">
        <f t="shared" si="190"/>
        <v>5681607.3000000007</v>
      </c>
      <c r="O483" s="31">
        <f t="shared" si="190"/>
        <v>0</v>
      </c>
      <c r="P483" s="31">
        <f t="shared" si="190"/>
        <v>0</v>
      </c>
      <c r="Q483" s="31">
        <f t="shared" si="190"/>
        <v>316.60000000000002</v>
      </c>
      <c r="R483" s="31">
        <f t="shared" si="190"/>
        <v>1784451.34</v>
      </c>
      <c r="S483" s="31">
        <f t="shared" si="190"/>
        <v>0</v>
      </c>
      <c r="T483" s="31">
        <f t="shared" si="190"/>
        <v>0</v>
      </c>
      <c r="U483" s="31">
        <f t="shared" si="190"/>
        <v>3628734.33</v>
      </c>
      <c r="V483" s="31">
        <f t="shared" si="190"/>
        <v>0</v>
      </c>
      <c r="W483" s="31">
        <f t="shared" si="190"/>
        <v>0</v>
      </c>
      <c r="X483" s="31">
        <f t="shared" si="190"/>
        <v>0</v>
      </c>
      <c r="Y483" s="31">
        <f t="shared" si="190"/>
        <v>0</v>
      </c>
      <c r="Z483" s="31">
        <f t="shared" si="190"/>
        <v>0</v>
      </c>
      <c r="AA483" s="31">
        <f t="shared" si="190"/>
        <v>0</v>
      </c>
      <c r="AB483" s="31">
        <f t="shared" si="190"/>
        <v>0</v>
      </c>
      <c r="AC483" s="31">
        <f t="shared" si="190"/>
        <v>166421.88</v>
      </c>
      <c r="AD483" s="31">
        <f t="shared" si="190"/>
        <v>361265.89</v>
      </c>
      <c r="AE483" s="31">
        <f t="shared" si="190"/>
        <v>120000</v>
      </c>
      <c r="AF483" s="72" t="s">
        <v>794</v>
      </c>
      <c r="AG483" s="72" t="s">
        <v>794</v>
      </c>
      <c r="AH483" s="91" t="s">
        <v>794</v>
      </c>
      <c r="AT483" s="20" t="e">
        <f t="shared" si="186"/>
        <v>#N/A</v>
      </c>
      <c r="BZ483" s="31">
        <v>11742480.740000002</v>
      </c>
      <c r="CA483" s="31"/>
      <c r="CB483" s="31">
        <f>BZ483-D483</f>
        <v>0</v>
      </c>
    </row>
    <row r="484" spans="1:80" ht="61.5" x14ac:dyDescent="0.85">
      <c r="A484" s="20">
        <v>1</v>
      </c>
      <c r="B484" s="66">
        <f>SUBTOTAL(103,$A$22:A484)</f>
        <v>415</v>
      </c>
      <c r="C484" s="24" t="s">
        <v>144</v>
      </c>
      <c r="D484" s="31">
        <f t="shared" ref="D484:D488" si="191">E484+F484+G484+H484+I484+J484+L484+N484+P484+R484+T484+U484+V484+W484+X484+Y484+Z484+AA484+AB484+AC484+AD484+AE484</f>
        <v>3824431.2399999998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3">
        <v>0</v>
      </c>
      <c r="L484" s="31">
        <v>0</v>
      </c>
      <c r="M484" s="31">
        <v>0</v>
      </c>
      <c r="N484" s="31">
        <v>0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3628734.33</v>
      </c>
      <c r="V484" s="31">
        <v>0</v>
      </c>
      <c r="W484" s="31">
        <v>0</v>
      </c>
      <c r="X484" s="31">
        <v>0</v>
      </c>
      <c r="Y484" s="31">
        <v>0</v>
      </c>
      <c r="Z484" s="31">
        <v>0</v>
      </c>
      <c r="AA484" s="31">
        <v>0</v>
      </c>
      <c r="AB484" s="31">
        <v>0</v>
      </c>
      <c r="AC484" s="31">
        <f>ROUND(U484*1.5%,2)</f>
        <v>54431.01</v>
      </c>
      <c r="AD484" s="31">
        <v>141265.9</v>
      </c>
      <c r="AE484" s="31">
        <v>0</v>
      </c>
      <c r="AF484" s="34">
        <v>2020</v>
      </c>
      <c r="AG484" s="34">
        <v>2020</v>
      </c>
      <c r="AH484" s="35">
        <v>2020</v>
      </c>
      <c r="AT484" s="20" t="e">
        <f t="shared" si="186"/>
        <v>#N/A</v>
      </c>
    </row>
    <row r="485" spans="1:80" ht="61.5" x14ac:dyDescent="0.85">
      <c r="A485" s="20">
        <v>1</v>
      </c>
      <c r="B485" s="66">
        <f>SUBTOTAL(103,$A$22:A485)</f>
        <v>416</v>
      </c>
      <c r="C485" s="24" t="s">
        <v>145</v>
      </c>
      <c r="D485" s="31">
        <f t="shared" si="191"/>
        <v>1510400.1400000001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3">
        <v>0</v>
      </c>
      <c r="L485" s="31">
        <v>0</v>
      </c>
      <c r="M485" s="31">
        <v>315.39999999999998</v>
      </c>
      <c r="N485" s="31">
        <f>1444390.37+43688.59</f>
        <v>1488078.9600000002</v>
      </c>
      <c r="O485" s="31">
        <v>0</v>
      </c>
      <c r="P485" s="31">
        <v>0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f t="shared" ref="AC485" si="192">ROUND(N485*1.5%,2)</f>
        <v>22321.18</v>
      </c>
      <c r="AD485" s="31">
        <v>0</v>
      </c>
      <c r="AE485" s="31">
        <v>0</v>
      </c>
      <c r="AF485" s="34" t="s">
        <v>274</v>
      </c>
      <c r="AG485" s="34">
        <v>2020</v>
      </c>
      <c r="AH485" s="35">
        <v>2020</v>
      </c>
      <c r="AT485" s="20" t="e">
        <f t="shared" si="186"/>
        <v>#N/A</v>
      </c>
    </row>
    <row r="486" spans="1:80" ht="61.5" x14ac:dyDescent="0.85">
      <c r="A486" s="20">
        <v>1</v>
      </c>
      <c r="B486" s="66">
        <f>SUBTOTAL(103,$A$22:A486)</f>
        <v>417</v>
      </c>
      <c r="C486" s="24" t="s">
        <v>1333</v>
      </c>
      <c r="D486" s="31">
        <f t="shared" si="191"/>
        <v>1911218.1</v>
      </c>
      <c r="E486" s="31">
        <v>0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3">
        <v>0</v>
      </c>
      <c r="L486" s="31">
        <v>0</v>
      </c>
      <c r="M486" s="31">
        <v>0</v>
      </c>
      <c r="N486" s="31">
        <v>0</v>
      </c>
      <c r="O486" s="31">
        <v>0</v>
      </c>
      <c r="P486" s="31">
        <v>0</v>
      </c>
      <c r="Q486" s="31">
        <v>316.60000000000002</v>
      </c>
      <c r="R486" s="31">
        <f>1266400-377064.1+107127.19+787988.25</f>
        <v>1784451.34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0</v>
      </c>
      <c r="Y486" s="31">
        <v>0</v>
      </c>
      <c r="Z486" s="31">
        <v>0</v>
      </c>
      <c r="AA486" s="31">
        <v>0</v>
      </c>
      <c r="AB486" s="31">
        <v>0</v>
      </c>
      <c r="AC486" s="31">
        <f>ROUND(R486*1.5%,2)</f>
        <v>26766.77</v>
      </c>
      <c r="AD486" s="31">
        <f>100000-0.01</f>
        <v>99999.99</v>
      </c>
      <c r="AE486" s="31">
        <v>0</v>
      </c>
      <c r="AF486" s="34">
        <v>2020</v>
      </c>
      <c r="AG486" s="34">
        <v>2020</v>
      </c>
      <c r="AH486" s="35">
        <v>2020</v>
      </c>
    </row>
    <row r="487" spans="1:80" ht="61.5" x14ac:dyDescent="0.85">
      <c r="A487" s="20">
        <v>1</v>
      </c>
      <c r="B487" s="66">
        <f>SUBTOTAL(103,$A$22:A487)</f>
        <v>418</v>
      </c>
      <c r="C487" s="24" t="s">
        <v>1334</v>
      </c>
      <c r="D487" s="31">
        <f t="shared" si="191"/>
        <v>1517864.1500000001</v>
      </c>
      <c r="E487" s="31">
        <v>0</v>
      </c>
      <c r="F487" s="31">
        <v>0</v>
      </c>
      <c r="G487" s="31">
        <v>0</v>
      </c>
      <c r="H487" s="31">
        <v>0</v>
      </c>
      <c r="I487" s="31">
        <v>0</v>
      </c>
      <c r="J487" s="31">
        <v>0</v>
      </c>
      <c r="K487" s="33">
        <v>0</v>
      </c>
      <c r="L487" s="31">
        <v>0</v>
      </c>
      <c r="M487" s="31">
        <v>272.38</v>
      </c>
      <c r="N487" s="31">
        <v>1377206.06</v>
      </c>
      <c r="O487" s="31">
        <v>0</v>
      </c>
      <c r="P487" s="31">
        <v>0</v>
      </c>
      <c r="Q487" s="31">
        <v>0</v>
      </c>
      <c r="R487" s="31">
        <v>0</v>
      </c>
      <c r="S487" s="31">
        <v>0</v>
      </c>
      <c r="T487" s="31">
        <v>0</v>
      </c>
      <c r="U487" s="31">
        <v>0</v>
      </c>
      <c r="V487" s="31">
        <v>0</v>
      </c>
      <c r="W487" s="31">
        <v>0</v>
      </c>
      <c r="X487" s="31">
        <v>0</v>
      </c>
      <c r="Y487" s="31">
        <v>0</v>
      </c>
      <c r="Z487" s="31">
        <v>0</v>
      </c>
      <c r="AA487" s="31">
        <v>0</v>
      </c>
      <c r="AB487" s="31">
        <v>0</v>
      </c>
      <c r="AC487" s="31">
        <f>ROUND(N487*1.5%,2)</f>
        <v>20658.09</v>
      </c>
      <c r="AD487" s="31">
        <v>0</v>
      </c>
      <c r="AE487" s="31">
        <v>120000</v>
      </c>
      <c r="AF487" s="34" t="s">
        <v>274</v>
      </c>
      <c r="AG487" s="34">
        <v>2020</v>
      </c>
      <c r="AH487" s="35">
        <v>2020</v>
      </c>
    </row>
    <row r="488" spans="1:80" ht="61.5" x14ac:dyDescent="0.85">
      <c r="A488" s="20">
        <v>1</v>
      </c>
      <c r="B488" s="66">
        <f>SUBTOTAL(103,$A$22:A488)</f>
        <v>419</v>
      </c>
      <c r="C488" s="24" t="s">
        <v>1369</v>
      </c>
      <c r="D488" s="31">
        <f t="shared" si="191"/>
        <v>2978567.1100000003</v>
      </c>
      <c r="E488" s="31">
        <v>0</v>
      </c>
      <c r="F488" s="31">
        <v>0</v>
      </c>
      <c r="G488" s="31">
        <v>0</v>
      </c>
      <c r="H488" s="31">
        <v>0</v>
      </c>
      <c r="I488" s="31">
        <v>0</v>
      </c>
      <c r="J488" s="31">
        <v>0</v>
      </c>
      <c r="K488" s="33">
        <v>0</v>
      </c>
      <c r="L488" s="31">
        <v>0</v>
      </c>
      <c r="M488" s="31">
        <v>596.79999999999995</v>
      </c>
      <c r="N488" s="31">
        <f>2367388.18+448934.1</f>
        <v>2816322.2800000003</v>
      </c>
      <c r="O488" s="31">
        <v>0</v>
      </c>
      <c r="P488" s="31">
        <v>0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v>0</v>
      </c>
      <c r="Y488" s="31">
        <v>0</v>
      </c>
      <c r="Z488" s="31">
        <v>0</v>
      </c>
      <c r="AA488" s="31">
        <v>0</v>
      </c>
      <c r="AB488" s="31">
        <v>0</v>
      </c>
      <c r="AC488" s="31">
        <f>ROUND(N488*1.5%,2)</f>
        <v>42244.83</v>
      </c>
      <c r="AD488" s="31">
        <v>120000</v>
      </c>
      <c r="AE488" s="31">
        <v>0</v>
      </c>
      <c r="AF488" s="34">
        <v>2020</v>
      </c>
      <c r="AG488" s="34">
        <v>2020</v>
      </c>
      <c r="AH488" s="35">
        <v>2020</v>
      </c>
    </row>
    <row r="489" spans="1:80" ht="61.5" x14ac:dyDescent="0.85">
      <c r="B489" s="24" t="s">
        <v>895</v>
      </c>
      <c r="C489" s="24"/>
      <c r="D489" s="31">
        <f>D490+D491+D492+D493+D494+D495+D496+D497+D498+D499+D500</f>
        <v>43274846.739999995</v>
      </c>
      <c r="E489" s="31">
        <f t="shared" ref="E489:AE489" si="193">E490+E491+E492+E493+E494+E495+E496+E497+E498+E499+E500</f>
        <v>284170.99</v>
      </c>
      <c r="F489" s="31">
        <f t="shared" si="193"/>
        <v>0</v>
      </c>
      <c r="G489" s="31">
        <f t="shared" si="193"/>
        <v>2885147.71</v>
      </c>
      <c r="H489" s="31">
        <f t="shared" si="193"/>
        <v>406111.39</v>
      </c>
      <c r="I489" s="31">
        <f t="shared" si="193"/>
        <v>1008919.92</v>
      </c>
      <c r="J489" s="31">
        <f t="shared" si="193"/>
        <v>0</v>
      </c>
      <c r="K489" s="33">
        <f t="shared" si="193"/>
        <v>0</v>
      </c>
      <c r="L489" s="31">
        <f t="shared" si="193"/>
        <v>0</v>
      </c>
      <c r="M489" s="31">
        <f t="shared" si="193"/>
        <v>7906.87</v>
      </c>
      <c r="N489" s="31">
        <f t="shared" si="193"/>
        <v>37371164.020000003</v>
      </c>
      <c r="O489" s="31">
        <f t="shared" si="193"/>
        <v>0</v>
      </c>
      <c r="P489" s="31">
        <f t="shared" si="193"/>
        <v>0</v>
      </c>
      <c r="Q489" s="31">
        <f t="shared" si="193"/>
        <v>0</v>
      </c>
      <c r="R489" s="31">
        <f t="shared" si="193"/>
        <v>0</v>
      </c>
      <c r="S489" s="31">
        <f t="shared" si="193"/>
        <v>0</v>
      </c>
      <c r="T489" s="31">
        <f t="shared" si="193"/>
        <v>0</v>
      </c>
      <c r="U489" s="31">
        <f t="shared" si="193"/>
        <v>0</v>
      </c>
      <c r="V489" s="31">
        <f t="shared" si="193"/>
        <v>0</v>
      </c>
      <c r="W489" s="31">
        <f t="shared" si="193"/>
        <v>0</v>
      </c>
      <c r="X489" s="31">
        <f t="shared" si="193"/>
        <v>0</v>
      </c>
      <c r="Y489" s="31">
        <f t="shared" si="193"/>
        <v>0</v>
      </c>
      <c r="Z489" s="31">
        <f t="shared" si="193"/>
        <v>0</v>
      </c>
      <c r="AA489" s="31">
        <f t="shared" si="193"/>
        <v>0</v>
      </c>
      <c r="AB489" s="31">
        <f t="shared" si="193"/>
        <v>0</v>
      </c>
      <c r="AC489" s="31">
        <f t="shared" si="193"/>
        <v>629332.71000000008</v>
      </c>
      <c r="AD489" s="31">
        <f t="shared" si="193"/>
        <v>690000</v>
      </c>
      <c r="AE489" s="31">
        <f t="shared" si="193"/>
        <v>0</v>
      </c>
      <c r="AF489" s="72" t="s">
        <v>794</v>
      </c>
      <c r="AG489" s="72" t="s">
        <v>794</v>
      </c>
      <c r="AH489" s="91" t="s">
        <v>794</v>
      </c>
      <c r="AT489" s="20" t="e">
        <f>VLOOKUP(C489,AW:AX,2,FALSE)</f>
        <v>#N/A</v>
      </c>
      <c r="BZ489" s="31">
        <v>31121291.719999999</v>
      </c>
      <c r="CA489" s="31"/>
      <c r="CB489" s="31">
        <f>BZ489-D489</f>
        <v>-12153555.019999996</v>
      </c>
    </row>
    <row r="490" spans="1:80" ht="61.5" x14ac:dyDescent="0.85">
      <c r="A490" s="20">
        <v>1</v>
      </c>
      <c r="B490" s="66">
        <f>SUBTOTAL(103,$A$22:A490)</f>
        <v>420</v>
      </c>
      <c r="C490" s="24" t="s">
        <v>147</v>
      </c>
      <c r="D490" s="31">
        <f t="shared" ref="D490:D496" si="194">E490+F490+G490+H490+I490+J490+L490+N490+P490+R490+T490+U490+V490+W490+X490+Y490+Z490+AA490+AB490+AC490+AD490+AE490</f>
        <v>5692834.5599999996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3">
        <v>0</v>
      </c>
      <c r="L490" s="31">
        <v>0</v>
      </c>
      <c r="M490" s="31">
        <v>1581.83</v>
      </c>
      <c r="N490" s="31">
        <v>5608704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1">
        <v>0</v>
      </c>
      <c r="Y490" s="31">
        <v>0</v>
      </c>
      <c r="Z490" s="31">
        <v>0</v>
      </c>
      <c r="AA490" s="31">
        <v>0</v>
      </c>
      <c r="AB490" s="31">
        <v>0</v>
      </c>
      <c r="AC490" s="31">
        <f t="shared" ref="AC490:AC492" si="195">ROUND(N490*1.5%,2)</f>
        <v>84130.559999999998</v>
      </c>
      <c r="AD490" s="31">
        <v>0</v>
      </c>
      <c r="AE490" s="31">
        <v>0</v>
      </c>
      <c r="AF490" s="34" t="s">
        <v>274</v>
      </c>
      <c r="AG490" s="34">
        <v>2020</v>
      </c>
      <c r="AH490" s="35">
        <v>2020</v>
      </c>
      <c r="AT490" s="20" t="e">
        <f>VLOOKUP(C490,AW:AX,2,FALSE)</f>
        <v>#N/A</v>
      </c>
    </row>
    <row r="491" spans="1:80" ht="61.5" x14ac:dyDescent="0.85">
      <c r="A491" s="20">
        <v>1</v>
      </c>
      <c r="B491" s="66">
        <f>SUBTOTAL(103,$A$22:A491)</f>
        <v>421</v>
      </c>
      <c r="C491" s="24" t="s">
        <v>142</v>
      </c>
      <c r="D491" s="31">
        <f t="shared" si="194"/>
        <v>5129422.3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3">
        <v>0</v>
      </c>
      <c r="L491" s="31">
        <v>0</v>
      </c>
      <c r="M491" s="31">
        <v>1140</v>
      </c>
      <c r="N491" s="31">
        <f>3946898.72+654836.09+458661.47-6778.25</f>
        <v>5053618.03</v>
      </c>
      <c r="O491" s="31">
        <v>0</v>
      </c>
      <c r="P491" s="31">
        <v>0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v>0</v>
      </c>
      <c r="Y491" s="31">
        <v>0</v>
      </c>
      <c r="Z491" s="31">
        <v>0</v>
      </c>
      <c r="AA491" s="31">
        <v>0</v>
      </c>
      <c r="AB491" s="31">
        <v>0</v>
      </c>
      <c r="AC491" s="31">
        <f t="shared" si="195"/>
        <v>75804.27</v>
      </c>
      <c r="AD491" s="31">
        <v>0</v>
      </c>
      <c r="AE491" s="31">
        <v>0</v>
      </c>
      <c r="AF491" s="34" t="s">
        <v>274</v>
      </c>
      <c r="AG491" s="34">
        <v>2020</v>
      </c>
      <c r="AH491" s="35">
        <v>2020</v>
      </c>
      <c r="AT491" s="20" t="e">
        <f>VLOOKUP(C491,AW:AX,2,FALSE)</f>
        <v>#N/A</v>
      </c>
    </row>
    <row r="492" spans="1:80" ht="61.5" x14ac:dyDescent="0.85">
      <c r="A492" s="20">
        <v>1</v>
      </c>
      <c r="B492" s="66">
        <f>SUBTOTAL(103,$A$22:A492)</f>
        <v>422</v>
      </c>
      <c r="C492" s="24" t="s">
        <v>143</v>
      </c>
      <c r="D492" s="31">
        <f t="shared" si="194"/>
        <v>5643841.1999999993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3">
        <v>0</v>
      </c>
      <c r="L492" s="31">
        <v>0</v>
      </c>
      <c r="M492" s="31">
        <v>1455</v>
      </c>
      <c r="N492" s="31">
        <v>5560434.6799999997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1">
        <v>0</v>
      </c>
      <c r="AA492" s="31">
        <v>0</v>
      </c>
      <c r="AB492" s="31">
        <v>0</v>
      </c>
      <c r="AC492" s="31">
        <f t="shared" si="195"/>
        <v>83406.52</v>
      </c>
      <c r="AD492" s="31">
        <v>0</v>
      </c>
      <c r="AE492" s="31">
        <v>0</v>
      </c>
      <c r="AF492" s="34" t="s">
        <v>274</v>
      </c>
      <c r="AG492" s="34">
        <v>2020</v>
      </c>
      <c r="AH492" s="35">
        <v>2020</v>
      </c>
      <c r="AT492" s="20" t="e">
        <f>VLOOKUP(C492,AW:AX,2,FALSE)</f>
        <v>#N/A</v>
      </c>
    </row>
    <row r="493" spans="1:80" ht="61.5" x14ac:dyDescent="0.85">
      <c r="A493" s="20">
        <v>1</v>
      </c>
      <c r="B493" s="66">
        <f>SUBTOTAL(103,$A$22:A493)</f>
        <v>423</v>
      </c>
      <c r="C493" s="24" t="s">
        <v>1325</v>
      </c>
      <c r="D493" s="31">
        <f t="shared" si="194"/>
        <v>1804087.71</v>
      </c>
      <c r="E493" s="31">
        <v>142596.67000000001</v>
      </c>
      <c r="F493" s="31">
        <v>0</v>
      </c>
      <c r="G493" s="31">
        <v>952149.43</v>
      </c>
      <c r="H493" s="31">
        <v>193602.76</v>
      </c>
      <c r="I493" s="31">
        <v>489077.46</v>
      </c>
      <c r="J493" s="31">
        <v>0</v>
      </c>
      <c r="K493" s="33">
        <v>0</v>
      </c>
      <c r="L493" s="31">
        <v>0</v>
      </c>
      <c r="M493" s="31">
        <v>0</v>
      </c>
      <c r="N493" s="31">
        <v>0</v>
      </c>
      <c r="O493" s="31">
        <v>0</v>
      </c>
      <c r="P493" s="31">
        <v>0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1">
        <v>0</v>
      </c>
      <c r="AA493" s="31">
        <v>0</v>
      </c>
      <c r="AB493" s="31">
        <v>0</v>
      </c>
      <c r="AC493" s="31">
        <f t="shared" ref="AC493:AC494" si="196">ROUND((E493+F493+G493+H493+I493+J493)*1.5%,2)</f>
        <v>26661.39</v>
      </c>
      <c r="AD493" s="31">
        <v>0</v>
      </c>
      <c r="AE493" s="31">
        <v>0</v>
      </c>
      <c r="AF493" s="34" t="s">
        <v>274</v>
      </c>
      <c r="AG493" s="34">
        <v>2020</v>
      </c>
      <c r="AH493" s="35">
        <v>2020</v>
      </c>
    </row>
    <row r="494" spans="1:80" ht="61.5" x14ac:dyDescent="0.85">
      <c r="A494" s="20">
        <v>1</v>
      </c>
      <c r="B494" s="66">
        <f>SUBTOTAL(103,$A$22:A494)</f>
        <v>424</v>
      </c>
      <c r="C494" s="24" t="s">
        <v>1326</v>
      </c>
      <c r="D494" s="31">
        <f t="shared" si="194"/>
        <v>1623736.5999999999</v>
      </c>
      <c r="E494" s="31">
        <v>141574.32</v>
      </c>
      <c r="F494" s="31">
        <v>0</v>
      </c>
      <c r="G494" s="31">
        <v>725815.08</v>
      </c>
      <c r="H494" s="31">
        <v>212508.63</v>
      </c>
      <c r="I494" s="31">
        <v>519842.46</v>
      </c>
      <c r="J494" s="31">
        <v>0</v>
      </c>
      <c r="K494" s="33">
        <v>0</v>
      </c>
      <c r="L494" s="31">
        <v>0</v>
      </c>
      <c r="M494" s="31">
        <v>0</v>
      </c>
      <c r="N494" s="31">
        <v>0</v>
      </c>
      <c r="O494" s="31">
        <v>0</v>
      </c>
      <c r="P494" s="31">
        <v>0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1">
        <v>0</v>
      </c>
      <c r="AA494" s="31">
        <v>0</v>
      </c>
      <c r="AB494" s="31">
        <v>0</v>
      </c>
      <c r="AC494" s="31">
        <f t="shared" si="196"/>
        <v>23996.11</v>
      </c>
      <c r="AD494" s="31">
        <v>0</v>
      </c>
      <c r="AE494" s="31">
        <v>0</v>
      </c>
      <c r="AF494" s="34" t="s">
        <v>274</v>
      </c>
      <c r="AG494" s="34">
        <v>2020</v>
      </c>
      <c r="AH494" s="35">
        <v>2020</v>
      </c>
    </row>
    <row r="495" spans="1:80" ht="61.5" x14ac:dyDescent="0.85">
      <c r="A495" s="20">
        <v>1</v>
      </c>
      <c r="B495" s="66">
        <f>SUBTOTAL(103,$A$22:A495)</f>
        <v>425</v>
      </c>
      <c r="C495" s="24" t="s">
        <v>1327</v>
      </c>
      <c r="D495" s="31">
        <f t="shared" si="194"/>
        <v>1225290.95</v>
      </c>
      <c r="E495" s="31">
        <v>0</v>
      </c>
      <c r="F495" s="31">
        <v>0</v>
      </c>
      <c r="G495" s="31">
        <v>1207183.2</v>
      </c>
      <c r="H495" s="31">
        <v>0</v>
      </c>
      <c r="I495" s="31">
        <v>0</v>
      </c>
      <c r="J495" s="31">
        <v>0</v>
      </c>
      <c r="K495" s="33">
        <v>0</v>
      </c>
      <c r="L495" s="31">
        <v>0</v>
      </c>
      <c r="M495" s="31">
        <v>0</v>
      </c>
      <c r="N495" s="31">
        <v>0</v>
      </c>
      <c r="O495" s="31">
        <v>0</v>
      </c>
      <c r="P495" s="31">
        <v>0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v>0</v>
      </c>
      <c r="Y495" s="31">
        <v>0</v>
      </c>
      <c r="Z495" s="31">
        <v>0</v>
      </c>
      <c r="AA495" s="31">
        <v>0</v>
      </c>
      <c r="AB495" s="31">
        <v>0</v>
      </c>
      <c r="AC495" s="31">
        <f t="shared" ref="AC495" si="197">ROUND((E495+F495+G495+H495+I495+J495)*1.5%,2)</f>
        <v>18107.75</v>
      </c>
      <c r="AD495" s="31">
        <v>0</v>
      </c>
      <c r="AE495" s="31">
        <v>0</v>
      </c>
      <c r="AF495" s="34" t="s">
        <v>274</v>
      </c>
      <c r="AG495" s="34">
        <v>2020</v>
      </c>
      <c r="AH495" s="35">
        <v>2020</v>
      </c>
    </row>
    <row r="496" spans="1:80" ht="61.5" x14ac:dyDescent="0.85">
      <c r="A496" s="20">
        <v>1</v>
      </c>
      <c r="B496" s="66">
        <f>SUBTOTAL(103,$A$22:A496)</f>
        <v>426</v>
      </c>
      <c r="C496" s="24" t="s">
        <v>1355</v>
      </c>
      <c r="D496" s="31">
        <f t="shared" si="194"/>
        <v>2883800.01</v>
      </c>
      <c r="E496" s="31">
        <v>0</v>
      </c>
      <c r="F496" s="31">
        <v>0</v>
      </c>
      <c r="G496" s="31">
        <v>0</v>
      </c>
      <c r="H496" s="31">
        <v>0</v>
      </c>
      <c r="I496" s="31">
        <v>0</v>
      </c>
      <c r="J496" s="31">
        <v>0</v>
      </c>
      <c r="K496" s="33">
        <v>0</v>
      </c>
      <c r="L496" s="31">
        <v>0</v>
      </c>
      <c r="M496" s="31">
        <v>526.01</v>
      </c>
      <c r="N496" s="31">
        <f>2472955.67+250000</f>
        <v>2722955.67</v>
      </c>
      <c r="O496" s="31">
        <v>0</v>
      </c>
      <c r="P496" s="31">
        <v>0</v>
      </c>
      <c r="Q496" s="31">
        <v>0</v>
      </c>
      <c r="R496" s="31">
        <v>0</v>
      </c>
      <c r="S496" s="31">
        <v>0</v>
      </c>
      <c r="T496" s="31">
        <v>0</v>
      </c>
      <c r="U496" s="31">
        <v>0</v>
      </c>
      <c r="V496" s="31">
        <v>0</v>
      </c>
      <c r="W496" s="31">
        <v>0</v>
      </c>
      <c r="X496" s="31">
        <v>0</v>
      </c>
      <c r="Y496" s="31">
        <v>0</v>
      </c>
      <c r="Z496" s="31">
        <v>0</v>
      </c>
      <c r="AA496" s="31">
        <v>0</v>
      </c>
      <c r="AB496" s="31">
        <v>0</v>
      </c>
      <c r="AC496" s="31">
        <f t="shared" ref="AC496" si="198">ROUND(N496*1.5%,2)</f>
        <v>40844.339999999997</v>
      </c>
      <c r="AD496" s="31">
        <v>120000</v>
      </c>
      <c r="AE496" s="31">
        <v>0</v>
      </c>
      <c r="AF496" s="34">
        <v>2020</v>
      </c>
      <c r="AG496" s="34">
        <v>2020</v>
      </c>
      <c r="AH496" s="35">
        <v>2020</v>
      </c>
    </row>
    <row r="497" spans="1:46" ht="61.5" x14ac:dyDescent="0.85">
      <c r="A497" s="20">
        <v>1</v>
      </c>
      <c r="B497" s="66">
        <f>SUBTOTAL(103,$A$22:A497)</f>
        <v>427</v>
      </c>
      <c r="C497" s="24" t="s">
        <v>1356</v>
      </c>
      <c r="D497" s="31">
        <f>E497+F497+G497+H497+I497+J497+L497+N497+P497+R497+T497+U497+V497+W497+X497+Y497+Z497+AA497+AB497+AC497+AD497+AE497</f>
        <v>3841975.35</v>
      </c>
      <c r="E497" s="31">
        <v>0</v>
      </c>
      <c r="F497" s="31">
        <v>0</v>
      </c>
      <c r="G497" s="31">
        <v>0</v>
      </c>
      <c r="H497" s="31">
        <v>0</v>
      </c>
      <c r="I497" s="31">
        <v>0</v>
      </c>
      <c r="J497" s="31">
        <v>0</v>
      </c>
      <c r="K497" s="33">
        <v>0</v>
      </c>
      <c r="L497" s="31">
        <v>0</v>
      </c>
      <c r="M497" s="31">
        <v>710</v>
      </c>
      <c r="N497" s="31">
        <f>3379310.34+287660.45</f>
        <v>3666970.79</v>
      </c>
      <c r="O497" s="31">
        <v>0</v>
      </c>
      <c r="P497" s="31">
        <v>0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1">
        <v>0</v>
      </c>
      <c r="Y497" s="31">
        <v>0</v>
      </c>
      <c r="Z497" s="31">
        <v>0</v>
      </c>
      <c r="AA497" s="31">
        <v>0</v>
      </c>
      <c r="AB497" s="31">
        <v>0</v>
      </c>
      <c r="AC497" s="31">
        <f>ROUND(N497*1.5%,2)</f>
        <v>55004.56</v>
      </c>
      <c r="AD497" s="31">
        <v>120000</v>
      </c>
      <c r="AE497" s="31">
        <v>0</v>
      </c>
      <c r="AF497" s="34">
        <v>2020</v>
      </c>
      <c r="AG497" s="34">
        <v>2020</v>
      </c>
      <c r="AH497" s="35">
        <v>2020</v>
      </c>
    </row>
    <row r="498" spans="1:46" ht="61.5" x14ac:dyDescent="0.85">
      <c r="A498" s="20">
        <v>1</v>
      </c>
      <c r="B498" s="66">
        <f>SUBTOTAL(103,$A$22:A498)</f>
        <v>428</v>
      </c>
      <c r="C498" s="24" t="s">
        <v>1657</v>
      </c>
      <c r="D498" s="31">
        <f>E498+F498+G498+H498+I498+J498+L498+N498+P498+R498+T498+U498+V498+W498+X498+Y498+Z498+AA498+AB498+AC498+AD498+AE498</f>
        <v>3276303.04</v>
      </c>
      <c r="E498" s="31">
        <v>0</v>
      </c>
      <c r="F498" s="31">
        <v>0</v>
      </c>
      <c r="G498" s="31">
        <v>0</v>
      </c>
      <c r="H498" s="31">
        <v>0</v>
      </c>
      <c r="I498" s="31">
        <v>0</v>
      </c>
      <c r="J498" s="31">
        <v>0</v>
      </c>
      <c r="K498" s="33">
        <v>0</v>
      </c>
      <c r="L498" s="31">
        <v>0</v>
      </c>
      <c r="M498" s="31">
        <v>524.36</v>
      </c>
      <c r="N498" s="31">
        <f>2577638.47+532019.7</f>
        <v>3109658.17</v>
      </c>
      <c r="O498" s="31">
        <v>0</v>
      </c>
      <c r="P498" s="31">
        <v>0</v>
      </c>
      <c r="Q498" s="31">
        <v>0</v>
      </c>
      <c r="R498" s="31">
        <v>0</v>
      </c>
      <c r="S498" s="31">
        <v>0</v>
      </c>
      <c r="T498" s="31">
        <v>0</v>
      </c>
      <c r="U498" s="31">
        <v>0</v>
      </c>
      <c r="V498" s="31">
        <v>0</v>
      </c>
      <c r="W498" s="31">
        <v>0</v>
      </c>
      <c r="X498" s="31">
        <v>0</v>
      </c>
      <c r="Y498" s="31">
        <v>0</v>
      </c>
      <c r="Z498" s="31">
        <v>0</v>
      </c>
      <c r="AA498" s="31">
        <v>0</v>
      </c>
      <c r="AB498" s="31">
        <v>0</v>
      </c>
      <c r="AC498" s="31">
        <f>ROUND(N498*1.5%,2)</f>
        <v>46644.87</v>
      </c>
      <c r="AD498" s="31">
        <v>120000</v>
      </c>
      <c r="AE498" s="31">
        <v>0</v>
      </c>
      <c r="AF498" s="34">
        <v>2020</v>
      </c>
      <c r="AG498" s="34">
        <v>2020</v>
      </c>
      <c r="AH498" s="35">
        <v>2020</v>
      </c>
    </row>
    <row r="499" spans="1:46" ht="61.5" x14ac:dyDescent="0.85">
      <c r="A499" s="20">
        <v>1</v>
      </c>
      <c r="B499" s="66">
        <f>SUBTOTAL(103,$A$22:A499)</f>
        <v>429</v>
      </c>
      <c r="C499" s="24" t="s">
        <v>153</v>
      </c>
      <c r="D499" s="31">
        <f>E499+F499+G499+H499+I499+J499+L499+N499+P499+R499+T499+U499+V499+W499+X499+Y499+Z499+AA499+AB499+AC499+AD499+AE499</f>
        <v>5244797.5</v>
      </c>
      <c r="E499" s="31">
        <v>0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3">
        <v>0</v>
      </c>
      <c r="L499" s="31">
        <v>0</v>
      </c>
      <c r="M499" s="31">
        <v>850</v>
      </c>
      <c r="N499" s="31">
        <v>5019504.93</v>
      </c>
      <c r="O499" s="31">
        <v>0</v>
      </c>
      <c r="P499" s="31">
        <v>0</v>
      </c>
      <c r="Q499" s="31">
        <v>0</v>
      </c>
      <c r="R499" s="31">
        <v>0</v>
      </c>
      <c r="S499" s="31">
        <v>0</v>
      </c>
      <c r="T499" s="31">
        <v>0</v>
      </c>
      <c r="U499" s="31">
        <v>0</v>
      </c>
      <c r="V499" s="31">
        <v>0</v>
      </c>
      <c r="W499" s="31">
        <v>0</v>
      </c>
      <c r="X499" s="31">
        <v>0</v>
      </c>
      <c r="Y499" s="31">
        <v>0</v>
      </c>
      <c r="Z499" s="31">
        <v>0</v>
      </c>
      <c r="AA499" s="31">
        <v>0</v>
      </c>
      <c r="AB499" s="31">
        <v>0</v>
      </c>
      <c r="AC499" s="31">
        <f>ROUND(N499*1.5%,2)</f>
        <v>75292.570000000007</v>
      </c>
      <c r="AD499" s="31">
        <v>150000</v>
      </c>
      <c r="AE499" s="31">
        <v>0</v>
      </c>
      <c r="AF499" s="34">
        <v>2020</v>
      </c>
      <c r="AG499" s="34">
        <v>2020</v>
      </c>
      <c r="AH499" s="35">
        <v>2020</v>
      </c>
      <c r="AT499" s="20" t="e">
        <f>VLOOKUP(C499,AW:AX,2,FALSE)</f>
        <v>#N/A</v>
      </c>
    </row>
    <row r="500" spans="1:46" ht="61.5" x14ac:dyDescent="0.85">
      <c r="A500" s="20">
        <v>1</v>
      </c>
      <c r="B500" s="66">
        <f>SUBTOTAL(103,$A$22:A500)</f>
        <v>430</v>
      </c>
      <c r="C500" s="24" t="s">
        <v>154</v>
      </c>
      <c r="D500" s="31">
        <f>E500+F500+G500+H500+I500+J500+L500+N500+P500+R500+T500+U500+V500+W500+X500+Y500+Z500+AA500+AB500+AC500+AD500+AE500</f>
        <v>6908757.5199999996</v>
      </c>
      <c r="E500" s="31">
        <v>0</v>
      </c>
      <c r="F500" s="31">
        <v>0</v>
      </c>
      <c r="G500" s="31">
        <v>0</v>
      </c>
      <c r="H500" s="31">
        <v>0</v>
      </c>
      <c r="I500" s="31">
        <v>0</v>
      </c>
      <c r="J500" s="31">
        <v>0</v>
      </c>
      <c r="K500" s="33">
        <v>0</v>
      </c>
      <c r="L500" s="31">
        <v>0</v>
      </c>
      <c r="M500" s="31">
        <v>1119.67</v>
      </c>
      <c r="N500" s="31">
        <v>6629317.75</v>
      </c>
      <c r="O500" s="31">
        <v>0</v>
      </c>
      <c r="P500" s="31">
        <v>0</v>
      </c>
      <c r="Q500" s="31">
        <v>0</v>
      </c>
      <c r="R500" s="31">
        <v>0</v>
      </c>
      <c r="S500" s="31">
        <v>0</v>
      </c>
      <c r="T500" s="31">
        <v>0</v>
      </c>
      <c r="U500" s="31">
        <v>0</v>
      </c>
      <c r="V500" s="31">
        <v>0</v>
      </c>
      <c r="W500" s="31">
        <v>0</v>
      </c>
      <c r="X500" s="31">
        <v>0</v>
      </c>
      <c r="Y500" s="31">
        <v>0</v>
      </c>
      <c r="Z500" s="31">
        <v>0</v>
      </c>
      <c r="AA500" s="31">
        <v>0</v>
      </c>
      <c r="AB500" s="31">
        <v>0</v>
      </c>
      <c r="AC500" s="31">
        <f>ROUND(N500*1.5%,2)</f>
        <v>99439.77</v>
      </c>
      <c r="AD500" s="31">
        <v>180000</v>
      </c>
      <c r="AE500" s="31">
        <v>0</v>
      </c>
      <c r="AF500" s="34">
        <v>2020</v>
      </c>
      <c r="AG500" s="34">
        <v>2020</v>
      </c>
      <c r="AH500" s="35">
        <v>2020</v>
      </c>
      <c r="AT500" s="20" t="e">
        <f>VLOOKUP(C500,AW:AX,2,FALSE)</f>
        <v>#N/A</v>
      </c>
    </row>
    <row r="501" spans="1:46" ht="61.5" x14ac:dyDescent="0.85">
      <c r="B501" s="24" t="s">
        <v>896</v>
      </c>
      <c r="C501" s="24"/>
      <c r="D501" s="31">
        <f>SUM(D502:D509)</f>
        <v>38327194.07</v>
      </c>
      <c r="E501" s="31">
        <f t="shared" ref="E501:AE501" si="199">SUM(E502:E509)</f>
        <v>0</v>
      </c>
      <c r="F501" s="31">
        <f t="shared" si="199"/>
        <v>0</v>
      </c>
      <c r="G501" s="31">
        <f t="shared" si="199"/>
        <v>3848168.19</v>
      </c>
      <c r="H501" s="31">
        <f t="shared" si="199"/>
        <v>0</v>
      </c>
      <c r="I501" s="31">
        <f t="shared" si="199"/>
        <v>0</v>
      </c>
      <c r="J501" s="31">
        <f t="shared" si="199"/>
        <v>0</v>
      </c>
      <c r="K501" s="33">
        <f t="shared" si="199"/>
        <v>0</v>
      </c>
      <c r="L501" s="31">
        <f t="shared" si="199"/>
        <v>0</v>
      </c>
      <c r="M501" s="31">
        <f t="shared" si="199"/>
        <v>6975.73</v>
      </c>
      <c r="N501" s="31">
        <f t="shared" si="199"/>
        <v>32536986.219999999</v>
      </c>
      <c r="O501" s="31">
        <f t="shared" si="199"/>
        <v>192</v>
      </c>
      <c r="P501" s="31">
        <f t="shared" si="199"/>
        <v>518485.12</v>
      </c>
      <c r="Q501" s="31">
        <f t="shared" si="199"/>
        <v>0</v>
      </c>
      <c r="R501" s="31">
        <f t="shared" si="199"/>
        <v>0</v>
      </c>
      <c r="S501" s="31">
        <f t="shared" si="199"/>
        <v>0</v>
      </c>
      <c r="T501" s="31">
        <f t="shared" si="199"/>
        <v>0</v>
      </c>
      <c r="U501" s="31">
        <f t="shared" si="199"/>
        <v>0</v>
      </c>
      <c r="V501" s="31">
        <f t="shared" si="199"/>
        <v>0</v>
      </c>
      <c r="W501" s="31">
        <f t="shared" si="199"/>
        <v>0</v>
      </c>
      <c r="X501" s="31">
        <f t="shared" si="199"/>
        <v>0</v>
      </c>
      <c r="Y501" s="31">
        <f t="shared" si="199"/>
        <v>0</v>
      </c>
      <c r="Z501" s="31">
        <f t="shared" si="199"/>
        <v>0</v>
      </c>
      <c r="AA501" s="31">
        <f t="shared" si="199"/>
        <v>0</v>
      </c>
      <c r="AB501" s="31">
        <f t="shared" si="199"/>
        <v>0</v>
      </c>
      <c r="AC501" s="31">
        <f t="shared" si="199"/>
        <v>553554.6</v>
      </c>
      <c r="AD501" s="31">
        <f t="shared" si="199"/>
        <v>749999.94</v>
      </c>
      <c r="AE501" s="31">
        <f t="shared" si="199"/>
        <v>120000</v>
      </c>
      <c r="AF501" s="72" t="s">
        <v>794</v>
      </c>
      <c r="AG501" s="72" t="s">
        <v>794</v>
      </c>
      <c r="AH501" s="91" t="s">
        <v>794</v>
      </c>
      <c r="AT501" s="20" t="e">
        <f>VLOOKUP(C501,AW:AX,2,FALSE)</f>
        <v>#N/A</v>
      </c>
    </row>
    <row r="502" spans="1:46" ht="61.5" x14ac:dyDescent="0.85">
      <c r="A502" s="20">
        <v>1</v>
      </c>
      <c r="B502" s="66">
        <f>SUBTOTAL(103,$A$22:A502)</f>
        <v>431</v>
      </c>
      <c r="C502" s="24" t="s">
        <v>138</v>
      </c>
      <c r="D502" s="31">
        <f t="shared" ref="D502:D509" si="200">E502+F502+G502+H502+I502+J502+L502+N502+P502+R502+T502+U502+V502+W502+X502+Y502+Z502+AA502+AB502+AC502+AD502+AE502</f>
        <v>6331416.2400000002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3">
        <v>0</v>
      </c>
      <c r="L502" s="31">
        <v>0</v>
      </c>
      <c r="M502" s="31">
        <v>1305</v>
      </c>
      <c r="N502" s="31">
        <v>6060508.6699999999</v>
      </c>
      <c r="O502" s="31">
        <v>0</v>
      </c>
      <c r="P502" s="31">
        <v>0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1">
        <v>0</v>
      </c>
      <c r="AA502" s="31">
        <v>0</v>
      </c>
      <c r="AB502" s="31">
        <v>0</v>
      </c>
      <c r="AC502" s="31">
        <f t="shared" ref="AC502:AC507" si="201">ROUND(N502*1.5%,2)</f>
        <v>90907.63</v>
      </c>
      <c r="AD502" s="31">
        <f>180000-0.01-0.05</f>
        <v>179999.94</v>
      </c>
      <c r="AE502" s="31">
        <v>0</v>
      </c>
      <c r="AF502" s="34">
        <v>2020</v>
      </c>
      <c r="AG502" s="34">
        <v>2020</v>
      </c>
      <c r="AH502" s="35">
        <v>2020</v>
      </c>
      <c r="AT502" s="20" t="e">
        <f>VLOOKUP(C502,AW:AX,2,FALSE)</f>
        <v>#N/A</v>
      </c>
    </row>
    <row r="503" spans="1:46" ht="61.5" x14ac:dyDescent="0.85">
      <c r="A503" s="20">
        <v>1</v>
      </c>
      <c r="B503" s="66">
        <f>SUBTOTAL(103,$A$22:A503)</f>
        <v>432</v>
      </c>
      <c r="C503" s="24" t="s">
        <v>140</v>
      </c>
      <c r="D503" s="31">
        <f t="shared" si="200"/>
        <v>2412628.25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3">
        <v>0</v>
      </c>
      <c r="L503" s="31">
        <v>0</v>
      </c>
      <c r="M503" s="31">
        <v>462.03</v>
      </c>
      <c r="N503" s="31">
        <v>2258747.04</v>
      </c>
      <c r="O503" s="31">
        <v>0</v>
      </c>
      <c r="P503" s="31">
        <v>0</v>
      </c>
      <c r="Q503" s="31">
        <v>0</v>
      </c>
      <c r="R503" s="31">
        <v>0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v>0</v>
      </c>
      <c r="Y503" s="31">
        <v>0</v>
      </c>
      <c r="Z503" s="31">
        <v>0</v>
      </c>
      <c r="AA503" s="31">
        <v>0</v>
      </c>
      <c r="AB503" s="31">
        <v>0</v>
      </c>
      <c r="AC503" s="31">
        <f t="shared" si="201"/>
        <v>33881.21</v>
      </c>
      <c r="AD503" s="31">
        <v>120000</v>
      </c>
      <c r="AE503" s="31">
        <v>0</v>
      </c>
      <c r="AF503" s="34">
        <v>2020</v>
      </c>
      <c r="AG503" s="34">
        <v>2020</v>
      </c>
      <c r="AH503" s="35">
        <v>2020</v>
      </c>
      <c r="AT503" s="20" t="e">
        <f>VLOOKUP(C503,AW:AX,2,FALSE)</f>
        <v>#N/A</v>
      </c>
    </row>
    <row r="504" spans="1:46" ht="61.5" x14ac:dyDescent="0.85">
      <c r="A504" s="20">
        <v>1</v>
      </c>
      <c r="B504" s="66">
        <f>SUBTOTAL(103,$A$22:A504)</f>
        <v>433</v>
      </c>
      <c r="C504" s="24" t="s">
        <v>149</v>
      </c>
      <c r="D504" s="31">
        <f t="shared" si="200"/>
        <v>8689284.0800000001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3">
        <v>0</v>
      </c>
      <c r="L504" s="31">
        <v>0</v>
      </c>
      <c r="M504" s="31">
        <v>1664.04</v>
      </c>
      <c r="N504" s="31">
        <v>8383531.1100000003</v>
      </c>
      <c r="O504" s="31">
        <v>0</v>
      </c>
      <c r="P504" s="31">
        <v>0</v>
      </c>
      <c r="Q504" s="31">
        <v>0</v>
      </c>
      <c r="R504" s="31">
        <v>0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f t="shared" si="201"/>
        <v>125752.97</v>
      </c>
      <c r="AD504" s="31">
        <v>180000</v>
      </c>
      <c r="AE504" s="31">
        <v>0</v>
      </c>
      <c r="AF504" s="34">
        <v>2020</v>
      </c>
      <c r="AG504" s="34">
        <v>2020</v>
      </c>
      <c r="AH504" s="35">
        <v>2020</v>
      </c>
      <c r="AT504" s="20" t="e">
        <f>VLOOKUP(C504,AW$504:AX$504,2,FALSE)</f>
        <v>#N/A</v>
      </c>
    </row>
    <row r="505" spans="1:46" ht="61.5" x14ac:dyDescent="0.85">
      <c r="A505" s="20">
        <v>1</v>
      </c>
      <c r="B505" s="66">
        <f>SUBTOTAL(103,$A$22:A505)</f>
        <v>434</v>
      </c>
      <c r="C505" s="24" t="s">
        <v>1330</v>
      </c>
      <c r="D505" s="31">
        <f t="shared" si="200"/>
        <v>4735462.9799999995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3">
        <v>0</v>
      </c>
      <c r="L505" s="31">
        <v>0</v>
      </c>
      <c r="M505" s="31">
        <v>1105</v>
      </c>
      <c r="N505" s="31">
        <v>4517697.5199999996</v>
      </c>
      <c r="O505" s="31">
        <v>0</v>
      </c>
      <c r="P505" s="31">
        <v>0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0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f t="shared" si="201"/>
        <v>67765.460000000006</v>
      </c>
      <c r="AD505" s="31">
        <v>30000</v>
      </c>
      <c r="AE505" s="31">
        <v>120000</v>
      </c>
      <c r="AF505" s="34">
        <v>2020</v>
      </c>
      <c r="AG505" s="34">
        <v>2020</v>
      </c>
      <c r="AH505" s="35">
        <v>2020</v>
      </c>
    </row>
    <row r="506" spans="1:46" ht="61.5" x14ac:dyDescent="0.85">
      <c r="A506" s="20">
        <v>1</v>
      </c>
      <c r="B506" s="66">
        <f>SUBTOTAL(103,$A$22:A506)</f>
        <v>435</v>
      </c>
      <c r="C506" s="24" t="s">
        <v>1331</v>
      </c>
      <c r="D506" s="31">
        <f t="shared" si="200"/>
        <v>4455121.7300000004</v>
      </c>
      <c r="E506" s="31">
        <v>0</v>
      </c>
      <c r="F506" s="31">
        <v>0</v>
      </c>
      <c r="G506" s="31">
        <v>0</v>
      </c>
      <c r="H506" s="31">
        <v>0</v>
      </c>
      <c r="I506" s="31">
        <v>0</v>
      </c>
      <c r="J506" s="31">
        <v>0</v>
      </c>
      <c r="K506" s="33">
        <v>0</v>
      </c>
      <c r="L506" s="31">
        <v>0</v>
      </c>
      <c r="M506" s="31">
        <v>859</v>
      </c>
      <c r="N506" s="31">
        <v>4389282.49</v>
      </c>
      <c r="O506" s="31">
        <v>0</v>
      </c>
      <c r="P506" s="31">
        <v>0</v>
      </c>
      <c r="Q506" s="31">
        <v>0</v>
      </c>
      <c r="R506" s="31">
        <v>0</v>
      </c>
      <c r="S506" s="31">
        <v>0</v>
      </c>
      <c r="T506" s="31">
        <v>0</v>
      </c>
      <c r="U506" s="31">
        <v>0</v>
      </c>
      <c r="V506" s="31">
        <v>0</v>
      </c>
      <c r="W506" s="31">
        <v>0</v>
      </c>
      <c r="X506" s="31">
        <v>0</v>
      </c>
      <c r="Y506" s="31">
        <v>0</v>
      </c>
      <c r="Z506" s="31">
        <v>0</v>
      </c>
      <c r="AA506" s="31">
        <v>0</v>
      </c>
      <c r="AB506" s="31">
        <v>0</v>
      </c>
      <c r="AC506" s="31">
        <f t="shared" si="201"/>
        <v>65839.240000000005</v>
      </c>
      <c r="AD506" s="31">
        <v>0</v>
      </c>
      <c r="AE506" s="31">
        <v>0</v>
      </c>
      <c r="AF506" s="34" t="s">
        <v>274</v>
      </c>
      <c r="AG506" s="34">
        <v>2020</v>
      </c>
      <c r="AH506" s="35">
        <v>2020</v>
      </c>
    </row>
    <row r="507" spans="1:46" ht="61.5" x14ac:dyDescent="0.85">
      <c r="A507" s="20">
        <v>1</v>
      </c>
      <c r="B507" s="66">
        <f>SUBTOTAL(103,$A$22:A507)</f>
        <v>436</v>
      </c>
      <c r="C507" s="24" t="s">
        <v>1332</v>
      </c>
      <c r="D507" s="31">
        <f t="shared" si="200"/>
        <v>7031127.6799999997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3">
        <v>0</v>
      </c>
      <c r="L507" s="31">
        <v>0</v>
      </c>
      <c r="M507" s="31">
        <v>1580.66</v>
      </c>
      <c r="N507" s="31">
        <f>6898654.81+28564.58</f>
        <v>6927219.3899999997</v>
      </c>
      <c r="O507" s="31">
        <v>0</v>
      </c>
      <c r="P507" s="31">
        <v>0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f t="shared" si="201"/>
        <v>103908.29</v>
      </c>
      <c r="AD507" s="31">
        <v>0</v>
      </c>
      <c r="AE507" s="31">
        <v>0</v>
      </c>
      <c r="AF507" s="34" t="s">
        <v>274</v>
      </c>
      <c r="AG507" s="34">
        <v>2020</v>
      </c>
      <c r="AH507" s="35">
        <v>2020</v>
      </c>
    </row>
    <row r="508" spans="1:46" ht="61.5" x14ac:dyDescent="0.85">
      <c r="A508" s="20">
        <v>1</v>
      </c>
      <c r="B508" s="66">
        <f>SUBTOTAL(103,$A$22:A508)</f>
        <v>437</v>
      </c>
      <c r="C508" s="24" t="s">
        <v>170</v>
      </c>
      <c r="D508" s="31">
        <f t="shared" si="200"/>
        <v>646262.4</v>
      </c>
      <c r="E508" s="31">
        <v>0</v>
      </c>
      <c r="F508" s="31">
        <v>0</v>
      </c>
      <c r="G508" s="31">
        <v>0</v>
      </c>
      <c r="H508" s="31">
        <v>0</v>
      </c>
      <c r="I508" s="31">
        <v>0</v>
      </c>
      <c r="J508" s="31">
        <v>0</v>
      </c>
      <c r="K508" s="33">
        <v>0</v>
      </c>
      <c r="L508" s="31">
        <v>0</v>
      </c>
      <c r="M508" s="31">
        <v>0</v>
      </c>
      <c r="N508" s="31">
        <v>0</v>
      </c>
      <c r="O508" s="31">
        <v>192</v>
      </c>
      <c r="P508" s="31">
        <v>518485.12</v>
      </c>
      <c r="Q508" s="31">
        <v>0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1">
        <v>0</v>
      </c>
      <c r="Y508" s="31">
        <v>0</v>
      </c>
      <c r="Z508" s="31">
        <v>0</v>
      </c>
      <c r="AA508" s="31">
        <v>0</v>
      </c>
      <c r="AB508" s="31">
        <v>0</v>
      </c>
      <c r="AC508" s="31">
        <f>ROUND(P508*1.5%,2)</f>
        <v>7777.28</v>
      </c>
      <c r="AD508" s="31">
        <v>120000</v>
      </c>
      <c r="AE508" s="31">
        <v>0</v>
      </c>
      <c r="AF508" s="34">
        <v>2020</v>
      </c>
      <c r="AG508" s="34">
        <v>2020</v>
      </c>
      <c r="AH508" s="35">
        <v>2020</v>
      </c>
      <c r="AT508" s="20" t="e">
        <f>VLOOKUP(C508,AW:AX,2,FALSE)</f>
        <v>#N/A</v>
      </c>
    </row>
    <row r="509" spans="1:46" ht="61.5" x14ac:dyDescent="0.85">
      <c r="A509" s="20">
        <v>1</v>
      </c>
      <c r="B509" s="66">
        <f>SUBTOTAL(103,$A$22:A509)</f>
        <v>438</v>
      </c>
      <c r="C509" s="24" t="s">
        <v>1354</v>
      </c>
      <c r="D509" s="31">
        <f t="shared" si="200"/>
        <v>4025890.71</v>
      </c>
      <c r="E509" s="31">
        <v>0</v>
      </c>
      <c r="F509" s="31">
        <v>0</v>
      </c>
      <c r="G509" s="31">
        <f>3966394.79-118226.6</f>
        <v>3848168.19</v>
      </c>
      <c r="H509" s="31">
        <v>0</v>
      </c>
      <c r="I509" s="31">
        <v>0</v>
      </c>
      <c r="J509" s="31">
        <v>0</v>
      </c>
      <c r="K509" s="33">
        <v>0</v>
      </c>
      <c r="L509" s="31">
        <v>0</v>
      </c>
      <c r="M509" s="93">
        <v>0</v>
      </c>
      <c r="N509" s="93">
        <v>0</v>
      </c>
      <c r="O509" s="31">
        <v>0</v>
      </c>
      <c r="P509" s="31">
        <v>0</v>
      </c>
      <c r="Q509" s="31">
        <v>0</v>
      </c>
      <c r="R509" s="31">
        <v>0</v>
      </c>
      <c r="S509" s="31">
        <v>0</v>
      </c>
      <c r="T509" s="31">
        <v>0</v>
      </c>
      <c r="U509" s="31">
        <v>0</v>
      </c>
      <c r="V509" s="31">
        <v>0</v>
      </c>
      <c r="W509" s="31">
        <v>0</v>
      </c>
      <c r="X509" s="31">
        <v>0</v>
      </c>
      <c r="Y509" s="31">
        <v>0</v>
      </c>
      <c r="Z509" s="31">
        <v>0</v>
      </c>
      <c r="AA509" s="31">
        <v>0</v>
      </c>
      <c r="AB509" s="31">
        <v>0</v>
      </c>
      <c r="AC509" s="31">
        <f t="shared" ref="AC509" si="202">ROUND((E509+F509+G509+H509+I509+J509)*1.5%,2)</f>
        <v>57722.52</v>
      </c>
      <c r="AD509" s="31">
        <v>120000</v>
      </c>
      <c r="AE509" s="31">
        <v>0</v>
      </c>
      <c r="AF509" s="34">
        <v>2020</v>
      </c>
      <c r="AG509" s="34">
        <v>2020</v>
      </c>
      <c r="AH509" s="35">
        <v>2020</v>
      </c>
    </row>
    <row r="510" spans="1:46" ht="61.5" x14ac:dyDescent="0.85">
      <c r="B510" s="24" t="s">
        <v>1328</v>
      </c>
      <c r="C510" s="24"/>
      <c r="D510" s="31">
        <f>D511</f>
        <v>2298882.5099999998</v>
      </c>
      <c r="E510" s="31">
        <f t="shared" ref="E510:AE510" si="203">E511</f>
        <v>0</v>
      </c>
      <c r="F510" s="31">
        <f t="shared" si="203"/>
        <v>0</v>
      </c>
      <c r="G510" s="31">
        <f t="shared" si="203"/>
        <v>0</v>
      </c>
      <c r="H510" s="31">
        <f t="shared" si="203"/>
        <v>0</v>
      </c>
      <c r="I510" s="31">
        <f t="shared" si="203"/>
        <v>0</v>
      </c>
      <c r="J510" s="31">
        <f t="shared" si="203"/>
        <v>0</v>
      </c>
      <c r="K510" s="33">
        <f t="shared" si="203"/>
        <v>0</v>
      </c>
      <c r="L510" s="31">
        <f t="shared" si="203"/>
        <v>0</v>
      </c>
      <c r="M510" s="31">
        <f t="shared" si="203"/>
        <v>467.74</v>
      </c>
      <c r="N510" s="31">
        <f t="shared" si="203"/>
        <v>2264908.88</v>
      </c>
      <c r="O510" s="31">
        <f t="shared" si="203"/>
        <v>0</v>
      </c>
      <c r="P510" s="31">
        <f t="shared" si="203"/>
        <v>0</v>
      </c>
      <c r="Q510" s="31">
        <f t="shared" si="203"/>
        <v>0</v>
      </c>
      <c r="R510" s="31">
        <f t="shared" si="203"/>
        <v>0</v>
      </c>
      <c r="S510" s="31">
        <f t="shared" si="203"/>
        <v>0</v>
      </c>
      <c r="T510" s="31">
        <f t="shared" si="203"/>
        <v>0</v>
      </c>
      <c r="U510" s="31">
        <f t="shared" si="203"/>
        <v>0</v>
      </c>
      <c r="V510" s="31">
        <f t="shared" si="203"/>
        <v>0</v>
      </c>
      <c r="W510" s="31">
        <f t="shared" si="203"/>
        <v>0</v>
      </c>
      <c r="X510" s="31">
        <f t="shared" si="203"/>
        <v>0</v>
      </c>
      <c r="Y510" s="31">
        <f t="shared" si="203"/>
        <v>0</v>
      </c>
      <c r="Z510" s="31">
        <f t="shared" si="203"/>
        <v>0</v>
      </c>
      <c r="AA510" s="31">
        <f t="shared" si="203"/>
        <v>0</v>
      </c>
      <c r="AB510" s="31">
        <f t="shared" si="203"/>
        <v>0</v>
      </c>
      <c r="AC510" s="31">
        <f t="shared" si="203"/>
        <v>33973.629999999997</v>
      </c>
      <c r="AD510" s="31">
        <f t="shared" si="203"/>
        <v>0</v>
      </c>
      <c r="AE510" s="31">
        <f t="shared" si="203"/>
        <v>0</v>
      </c>
      <c r="AF510" s="72" t="s">
        <v>794</v>
      </c>
      <c r="AG510" s="72" t="s">
        <v>794</v>
      </c>
      <c r="AH510" s="91" t="s">
        <v>794</v>
      </c>
    </row>
    <row r="511" spans="1:46" ht="61.5" x14ac:dyDescent="0.85">
      <c r="A511" s="20">
        <v>1</v>
      </c>
      <c r="B511" s="66">
        <f>SUBTOTAL(103,$A$22:A511)</f>
        <v>439</v>
      </c>
      <c r="C511" s="24" t="s">
        <v>1329</v>
      </c>
      <c r="D511" s="31">
        <f t="shared" ref="D511:D513" si="204">E511+F511+G511+H511+I511+J511+L511+N511+P511+R511+T511+U511+V511+W511+X511+Y511+Z511+AA511+AB511+AC511+AD511+AE511</f>
        <v>2298882.5099999998</v>
      </c>
      <c r="E511" s="31">
        <v>0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3">
        <v>0</v>
      </c>
      <c r="L511" s="31">
        <v>0</v>
      </c>
      <c r="M511" s="31">
        <v>467.74</v>
      </c>
      <c r="N511" s="31">
        <f>1772494.39+492414.49</f>
        <v>2264908.88</v>
      </c>
      <c r="O511" s="31">
        <v>0</v>
      </c>
      <c r="P511" s="31">
        <v>0</v>
      </c>
      <c r="Q511" s="31">
        <v>0</v>
      </c>
      <c r="R511" s="31">
        <v>0</v>
      </c>
      <c r="S511" s="31">
        <v>0</v>
      </c>
      <c r="T511" s="31">
        <v>0</v>
      </c>
      <c r="U511" s="31">
        <v>0</v>
      </c>
      <c r="V511" s="31">
        <v>0</v>
      </c>
      <c r="W511" s="31">
        <v>0</v>
      </c>
      <c r="X511" s="31">
        <v>0</v>
      </c>
      <c r="Y511" s="31">
        <v>0</v>
      </c>
      <c r="Z511" s="31">
        <v>0</v>
      </c>
      <c r="AA511" s="31">
        <v>0</v>
      </c>
      <c r="AB511" s="31">
        <v>0</v>
      </c>
      <c r="AC511" s="31">
        <f t="shared" ref="AC511" si="205">ROUND(N511*1.5%,2)</f>
        <v>33973.629999999997</v>
      </c>
      <c r="AD511" s="31">
        <v>0</v>
      </c>
      <c r="AE511" s="31">
        <v>0</v>
      </c>
      <c r="AF511" s="34" t="s">
        <v>274</v>
      </c>
      <c r="AG511" s="34">
        <v>2020</v>
      </c>
      <c r="AH511" s="35">
        <v>2020</v>
      </c>
    </row>
    <row r="512" spans="1:46" ht="61.5" x14ac:dyDescent="0.85">
      <c r="B512" s="24" t="s">
        <v>1114</v>
      </c>
      <c r="C512" s="24"/>
      <c r="D512" s="31">
        <f>D513</f>
        <v>467593.97</v>
      </c>
      <c r="E512" s="31">
        <f t="shared" ref="E512:AE512" si="206">E513</f>
        <v>0</v>
      </c>
      <c r="F512" s="31">
        <f t="shared" si="206"/>
        <v>0</v>
      </c>
      <c r="G512" s="31">
        <f t="shared" si="206"/>
        <v>0</v>
      </c>
      <c r="H512" s="31">
        <f t="shared" si="206"/>
        <v>0</v>
      </c>
      <c r="I512" s="31">
        <f t="shared" si="206"/>
        <v>0</v>
      </c>
      <c r="J512" s="31">
        <f t="shared" si="206"/>
        <v>0</v>
      </c>
      <c r="K512" s="33">
        <f t="shared" si="206"/>
        <v>0</v>
      </c>
      <c r="L512" s="31">
        <f t="shared" si="206"/>
        <v>0</v>
      </c>
      <c r="M512" s="31">
        <f t="shared" si="206"/>
        <v>0</v>
      </c>
      <c r="N512" s="31">
        <f t="shared" si="206"/>
        <v>0</v>
      </c>
      <c r="O512" s="31">
        <f t="shared" si="206"/>
        <v>0</v>
      </c>
      <c r="P512" s="31">
        <f t="shared" si="206"/>
        <v>0</v>
      </c>
      <c r="Q512" s="31">
        <f t="shared" si="206"/>
        <v>119.3</v>
      </c>
      <c r="R512" s="31">
        <f t="shared" si="206"/>
        <v>362161.55</v>
      </c>
      <c r="S512" s="31">
        <f t="shared" si="206"/>
        <v>0</v>
      </c>
      <c r="T512" s="31">
        <f t="shared" si="206"/>
        <v>0</v>
      </c>
      <c r="U512" s="31">
        <f t="shared" si="206"/>
        <v>0</v>
      </c>
      <c r="V512" s="31">
        <f t="shared" si="206"/>
        <v>0</v>
      </c>
      <c r="W512" s="31">
        <f t="shared" si="206"/>
        <v>0</v>
      </c>
      <c r="X512" s="31">
        <f t="shared" si="206"/>
        <v>0</v>
      </c>
      <c r="Y512" s="31">
        <f t="shared" si="206"/>
        <v>0</v>
      </c>
      <c r="Z512" s="31">
        <f t="shared" si="206"/>
        <v>0</v>
      </c>
      <c r="AA512" s="31">
        <f t="shared" si="206"/>
        <v>0</v>
      </c>
      <c r="AB512" s="31">
        <f t="shared" si="206"/>
        <v>0</v>
      </c>
      <c r="AC512" s="31">
        <f t="shared" si="206"/>
        <v>5432.42</v>
      </c>
      <c r="AD512" s="31">
        <f t="shared" si="206"/>
        <v>100000</v>
      </c>
      <c r="AE512" s="31">
        <f t="shared" si="206"/>
        <v>0</v>
      </c>
      <c r="AF512" s="72" t="s">
        <v>794</v>
      </c>
      <c r="AG512" s="72" t="s">
        <v>794</v>
      </c>
      <c r="AH512" s="91" t="s">
        <v>794</v>
      </c>
    </row>
    <row r="513" spans="1:83" ht="61.5" x14ac:dyDescent="0.85">
      <c r="A513" s="20">
        <v>1</v>
      </c>
      <c r="B513" s="66">
        <f>SUBTOTAL(103,$A$22:A513)</f>
        <v>440</v>
      </c>
      <c r="C513" s="24" t="s">
        <v>1102</v>
      </c>
      <c r="D513" s="31">
        <f t="shared" si="204"/>
        <v>467593.97</v>
      </c>
      <c r="E513" s="31">
        <v>0</v>
      </c>
      <c r="F513" s="31">
        <v>0</v>
      </c>
      <c r="G513" s="31">
        <v>0</v>
      </c>
      <c r="H513" s="31">
        <v>0</v>
      </c>
      <c r="I513" s="31">
        <v>0</v>
      </c>
      <c r="J513" s="31">
        <v>0</v>
      </c>
      <c r="K513" s="33">
        <v>0</v>
      </c>
      <c r="L513" s="31">
        <v>0</v>
      </c>
      <c r="M513" s="31">
        <v>0</v>
      </c>
      <c r="N513" s="31">
        <v>0</v>
      </c>
      <c r="O513" s="31">
        <v>0</v>
      </c>
      <c r="P513" s="31">
        <v>0</v>
      </c>
      <c r="Q513" s="31">
        <v>119.3</v>
      </c>
      <c r="R513" s="31">
        <f>362161.55</f>
        <v>362161.55</v>
      </c>
      <c r="S513" s="31">
        <v>0</v>
      </c>
      <c r="T513" s="31">
        <v>0</v>
      </c>
      <c r="U513" s="31">
        <v>0</v>
      </c>
      <c r="V513" s="31">
        <v>0</v>
      </c>
      <c r="W513" s="31">
        <v>0</v>
      </c>
      <c r="X513" s="31">
        <v>0</v>
      </c>
      <c r="Y513" s="31">
        <v>0</v>
      </c>
      <c r="Z513" s="31">
        <v>0</v>
      </c>
      <c r="AA513" s="31">
        <v>0</v>
      </c>
      <c r="AB513" s="31">
        <v>0</v>
      </c>
      <c r="AC513" s="31">
        <f>ROUND(R513*1.5%,2)</f>
        <v>5432.42</v>
      </c>
      <c r="AD513" s="31">
        <v>100000</v>
      </c>
      <c r="AE513" s="31">
        <v>0</v>
      </c>
      <c r="AF513" s="34">
        <v>2020</v>
      </c>
      <c r="AG513" s="34">
        <v>2020</v>
      </c>
      <c r="AH513" s="35">
        <v>2020</v>
      </c>
    </row>
    <row r="514" spans="1:83" ht="61.5" x14ac:dyDescent="0.85">
      <c r="B514" s="24" t="s">
        <v>897</v>
      </c>
      <c r="C514" s="117"/>
      <c r="D514" s="31">
        <f>SUM(D515:D519)</f>
        <v>11081040.970000001</v>
      </c>
      <c r="E514" s="31">
        <f t="shared" ref="E514:AE514" si="207">SUM(E515:E519)</f>
        <v>0</v>
      </c>
      <c r="F514" s="31">
        <f t="shared" si="207"/>
        <v>0</v>
      </c>
      <c r="G514" s="31">
        <f t="shared" si="207"/>
        <v>0</v>
      </c>
      <c r="H514" s="31">
        <f t="shared" si="207"/>
        <v>0</v>
      </c>
      <c r="I514" s="31">
        <f t="shared" si="207"/>
        <v>0</v>
      </c>
      <c r="J514" s="31">
        <f t="shared" si="207"/>
        <v>0</v>
      </c>
      <c r="K514" s="33">
        <f t="shared" si="207"/>
        <v>0</v>
      </c>
      <c r="L514" s="31">
        <f t="shared" si="207"/>
        <v>0</v>
      </c>
      <c r="M514" s="31">
        <f t="shared" si="207"/>
        <v>1385.4</v>
      </c>
      <c r="N514" s="31">
        <f t="shared" si="207"/>
        <v>5839785.54</v>
      </c>
      <c r="O514" s="31">
        <f t="shared" si="207"/>
        <v>0</v>
      </c>
      <c r="P514" s="31">
        <f t="shared" si="207"/>
        <v>0</v>
      </c>
      <c r="Q514" s="31">
        <f t="shared" si="207"/>
        <v>1309.95</v>
      </c>
      <c r="R514" s="31">
        <f t="shared" si="207"/>
        <v>4870510.96</v>
      </c>
      <c r="S514" s="31">
        <f t="shared" si="207"/>
        <v>0</v>
      </c>
      <c r="T514" s="31">
        <f t="shared" si="207"/>
        <v>0</v>
      </c>
      <c r="U514" s="31">
        <f t="shared" si="207"/>
        <v>0</v>
      </c>
      <c r="V514" s="31">
        <f t="shared" si="207"/>
        <v>0</v>
      </c>
      <c r="W514" s="31">
        <f t="shared" si="207"/>
        <v>0</v>
      </c>
      <c r="X514" s="31">
        <f t="shared" si="207"/>
        <v>0</v>
      </c>
      <c r="Y514" s="31">
        <f t="shared" si="207"/>
        <v>0</v>
      </c>
      <c r="Z514" s="31">
        <f t="shared" si="207"/>
        <v>0</v>
      </c>
      <c r="AA514" s="31">
        <f t="shared" si="207"/>
        <v>0</v>
      </c>
      <c r="AB514" s="31">
        <f t="shared" si="207"/>
        <v>0</v>
      </c>
      <c r="AC514" s="31">
        <f t="shared" si="207"/>
        <v>160654.45000000001</v>
      </c>
      <c r="AD514" s="31">
        <f t="shared" si="207"/>
        <v>90090.02</v>
      </c>
      <c r="AE514" s="31">
        <f t="shared" si="207"/>
        <v>120000</v>
      </c>
      <c r="AF514" s="72" t="s">
        <v>794</v>
      </c>
      <c r="AG514" s="72" t="s">
        <v>794</v>
      </c>
      <c r="AH514" s="91" t="s">
        <v>794</v>
      </c>
      <c r="AT514" s="20" t="e">
        <f>VLOOKUP(C514,AW:AX,2,FALSE)</f>
        <v>#N/A</v>
      </c>
      <c r="CC514" s="31">
        <v>10960961.029999999</v>
      </c>
      <c r="CE514" s="31">
        <f>CC514-D514</f>
        <v>-120079.94000000134</v>
      </c>
    </row>
    <row r="515" spans="1:83" ht="61.5" x14ac:dyDescent="0.85">
      <c r="A515" s="20">
        <v>1</v>
      </c>
      <c r="B515" s="66">
        <f>SUBTOTAL(103,$A$22:A515)</f>
        <v>441</v>
      </c>
      <c r="C515" s="24" t="s">
        <v>90</v>
      </c>
      <c r="D515" s="31">
        <f t="shared" ref="D515:D519" si="208">E515+F515+G515+H515+I515+J515+L515+N515+P515+R515+T515+U515+V515+W515+X515+Y515+Z515+AA515+AB515+AC515+AD515+AE515</f>
        <v>2314656.7600000002</v>
      </c>
      <c r="E515" s="31">
        <v>0</v>
      </c>
      <c r="F515" s="31">
        <v>0</v>
      </c>
      <c r="G515" s="31">
        <v>0</v>
      </c>
      <c r="H515" s="31">
        <v>0</v>
      </c>
      <c r="I515" s="31">
        <v>0</v>
      </c>
      <c r="J515" s="31">
        <v>0</v>
      </c>
      <c r="K515" s="33">
        <v>0</v>
      </c>
      <c r="L515" s="31">
        <v>0</v>
      </c>
      <c r="M515" s="31">
        <v>426</v>
      </c>
      <c r="N515" s="31">
        <f>2073386.01+118305.36</f>
        <v>2191691.37</v>
      </c>
      <c r="O515" s="31">
        <v>0</v>
      </c>
      <c r="P515" s="31">
        <v>0</v>
      </c>
      <c r="Q515" s="31">
        <v>0</v>
      </c>
      <c r="R515" s="31">
        <v>0</v>
      </c>
      <c r="S515" s="31">
        <v>0</v>
      </c>
      <c r="T515" s="31">
        <v>0</v>
      </c>
      <c r="U515" s="31">
        <v>0</v>
      </c>
      <c r="V515" s="31">
        <v>0</v>
      </c>
      <c r="W515" s="31">
        <v>0</v>
      </c>
      <c r="X515" s="31">
        <v>0</v>
      </c>
      <c r="Y515" s="31">
        <v>0</v>
      </c>
      <c r="Z515" s="31">
        <v>0</v>
      </c>
      <c r="AA515" s="31">
        <v>0</v>
      </c>
      <c r="AB515" s="31">
        <v>0</v>
      </c>
      <c r="AC515" s="31">
        <f>ROUND(N515*1.5%,2)</f>
        <v>32875.370000000003</v>
      </c>
      <c r="AD515" s="31">
        <v>90090.02</v>
      </c>
      <c r="AE515" s="31">
        <v>0</v>
      </c>
      <c r="AF515" s="34">
        <v>2020</v>
      </c>
      <c r="AG515" s="34">
        <v>2020</v>
      </c>
      <c r="AH515" s="35">
        <v>2020</v>
      </c>
      <c r="AT515" s="20" t="e">
        <f>VLOOKUP(C515,AW:AX,2,FALSE)</f>
        <v>#N/A</v>
      </c>
    </row>
    <row r="516" spans="1:83" ht="61.5" x14ac:dyDescent="0.85">
      <c r="A516" s="20">
        <v>1</v>
      </c>
      <c r="B516" s="66">
        <f>SUBTOTAL(103,$A$22:A516)</f>
        <v>442</v>
      </c>
      <c r="C516" s="24" t="s">
        <v>91</v>
      </c>
      <c r="D516" s="31">
        <f t="shared" si="208"/>
        <v>2072678.6099999999</v>
      </c>
      <c r="E516" s="31">
        <v>0</v>
      </c>
      <c r="F516" s="31">
        <v>0</v>
      </c>
      <c r="G516" s="31">
        <v>0</v>
      </c>
      <c r="H516" s="31">
        <v>0</v>
      </c>
      <c r="I516" s="31">
        <v>0</v>
      </c>
      <c r="J516" s="31">
        <v>0</v>
      </c>
      <c r="K516" s="33">
        <v>0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142.1</v>
      </c>
      <c r="R516" s="31">
        <f>2030000+12047.89</f>
        <v>2042047.89</v>
      </c>
      <c r="S516" s="31">
        <v>0</v>
      </c>
      <c r="T516" s="31">
        <v>0</v>
      </c>
      <c r="U516" s="31">
        <v>0</v>
      </c>
      <c r="V516" s="31">
        <v>0</v>
      </c>
      <c r="W516" s="31">
        <v>0</v>
      </c>
      <c r="X516" s="31">
        <v>0</v>
      </c>
      <c r="Y516" s="31">
        <v>0</v>
      </c>
      <c r="Z516" s="31">
        <v>0</v>
      </c>
      <c r="AA516" s="31">
        <v>0</v>
      </c>
      <c r="AB516" s="31">
        <v>0</v>
      </c>
      <c r="AC516" s="31">
        <f t="shared" ref="AC516:AC518" si="209">ROUND(R516*1.5%,2)</f>
        <v>30630.720000000001</v>
      </c>
      <c r="AD516" s="31">
        <v>0</v>
      </c>
      <c r="AE516" s="31">
        <v>0</v>
      </c>
      <c r="AF516" s="34" t="s">
        <v>274</v>
      </c>
      <c r="AG516" s="34">
        <v>2020</v>
      </c>
      <c r="AH516" s="35">
        <v>2020</v>
      </c>
      <c r="AT516" s="20" t="e">
        <f>VLOOKUP(C516,AW:AX,2,FALSE)</f>
        <v>#N/A</v>
      </c>
    </row>
    <row r="517" spans="1:83" ht="61.5" x14ac:dyDescent="0.85">
      <c r="A517" s="20">
        <v>1</v>
      </c>
      <c r="B517" s="66">
        <f>SUBTOTAL(103,$A$22:A517)</f>
        <v>443</v>
      </c>
      <c r="C517" s="24" t="s">
        <v>1335</v>
      </c>
      <c r="D517" s="31">
        <f t="shared" si="208"/>
        <v>1001541.0499999999</v>
      </c>
      <c r="E517" s="31">
        <v>0</v>
      </c>
      <c r="F517" s="31">
        <v>0</v>
      </c>
      <c r="G517" s="31">
        <v>0</v>
      </c>
      <c r="H517" s="31">
        <v>0</v>
      </c>
      <c r="I517" s="31">
        <v>0</v>
      </c>
      <c r="J517" s="31">
        <v>0</v>
      </c>
      <c r="K517" s="33">
        <v>0</v>
      </c>
      <c r="L517" s="31">
        <v>0</v>
      </c>
      <c r="M517" s="31">
        <v>0</v>
      </c>
      <c r="N517" s="31">
        <v>0</v>
      </c>
      <c r="O517" s="31">
        <v>0</v>
      </c>
      <c r="P517" s="31">
        <v>0</v>
      </c>
      <c r="Q517" s="31">
        <v>438.75</v>
      </c>
      <c r="R517" s="31">
        <v>986739.95</v>
      </c>
      <c r="S517" s="31">
        <v>0</v>
      </c>
      <c r="T517" s="31">
        <v>0</v>
      </c>
      <c r="U517" s="31">
        <v>0</v>
      </c>
      <c r="V517" s="31">
        <v>0</v>
      </c>
      <c r="W517" s="31">
        <v>0</v>
      </c>
      <c r="X517" s="31">
        <v>0</v>
      </c>
      <c r="Y517" s="31">
        <v>0</v>
      </c>
      <c r="Z517" s="31">
        <v>0</v>
      </c>
      <c r="AA517" s="31">
        <v>0</v>
      </c>
      <c r="AB517" s="31">
        <v>0</v>
      </c>
      <c r="AC517" s="31">
        <f t="shared" si="209"/>
        <v>14801.1</v>
      </c>
      <c r="AD517" s="31">
        <v>0</v>
      </c>
      <c r="AE517" s="31">
        <v>0</v>
      </c>
      <c r="AF517" s="34" t="s">
        <v>274</v>
      </c>
      <c r="AG517" s="34">
        <v>2020</v>
      </c>
      <c r="AH517" s="35">
        <v>2020</v>
      </c>
    </row>
    <row r="518" spans="1:83" ht="61.5" x14ac:dyDescent="0.85">
      <c r="A518" s="20">
        <v>1</v>
      </c>
      <c r="B518" s="66">
        <f>SUBTOTAL(103,$A$22:A518)</f>
        <v>444</v>
      </c>
      <c r="C518" s="24" t="s">
        <v>1336</v>
      </c>
      <c r="D518" s="31">
        <f t="shared" si="208"/>
        <v>1989348.9700000002</v>
      </c>
      <c r="E518" s="31">
        <v>0</v>
      </c>
      <c r="F518" s="31">
        <v>0</v>
      </c>
      <c r="G518" s="31">
        <v>0</v>
      </c>
      <c r="H518" s="31">
        <v>0</v>
      </c>
      <c r="I518" s="31">
        <v>0</v>
      </c>
      <c r="J518" s="31">
        <v>0</v>
      </c>
      <c r="K518" s="33">
        <v>0</v>
      </c>
      <c r="L518" s="31">
        <v>0</v>
      </c>
      <c r="M518" s="31">
        <v>0</v>
      </c>
      <c r="N518" s="31">
        <v>0</v>
      </c>
      <c r="O518" s="31">
        <v>0</v>
      </c>
      <c r="P518" s="31">
        <v>0</v>
      </c>
      <c r="Q518" s="31">
        <v>729.1</v>
      </c>
      <c r="R518" s="31">
        <v>1841723.12</v>
      </c>
      <c r="S518" s="31">
        <v>0</v>
      </c>
      <c r="T518" s="31">
        <v>0</v>
      </c>
      <c r="U518" s="31">
        <v>0</v>
      </c>
      <c r="V518" s="31">
        <v>0</v>
      </c>
      <c r="W518" s="31">
        <v>0</v>
      </c>
      <c r="X518" s="31">
        <v>0</v>
      </c>
      <c r="Y518" s="31">
        <v>0</v>
      </c>
      <c r="Z518" s="31">
        <v>0</v>
      </c>
      <c r="AA518" s="31">
        <v>0</v>
      </c>
      <c r="AB518" s="31">
        <v>0</v>
      </c>
      <c r="AC518" s="31">
        <f t="shared" si="209"/>
        <v>27625.85</v>
      </c>
      <c r="AD518" s="31">
        <v>0</v>
      </c>
      <c r="AE518" s="31">
        <v>120000</v>
      </c>
      <c r="AF518" s="34" t="s">
        <v>274</v>
      </c>
      <c r="AG518" s="34">
        <v>2020</v>
      </c>
      <c r="AH518" s="35">
        <v>2020</v>
      </c>
    </row>
    <row r="519" spans="1:83" ht="61.5" x14ac:dyDescent="0.85">
      <c r="A519" s="20">
        <v>1</v>
      </c>
      <c r="B519" s="66">
        <f>SUBTOTAL(103,$A$22:A519)</f>
        <v>445</v>
      </c>
      <c r="C519" s="24" t="s">
        <v>1337</v>
      </c>
      <c r="D519" s="31">
        <f t="shared" si="208"/>
        <v>3702815.58</v>
      </c>
      <c r="E519" s="31">
        <v>0</v>
      </c>
      <c r="F519" s="31">
        <v>0</v>
      </c>
      <c r="G519" s="31">
        <v>0</v>
      </c>
      <c r="H519" s="31">
        <v>0</v>
      </c>
      <c r="I519" s="31">
        <v>0</v>
      </c>
      <c r="J519" s="31">
        <v>0</v>
      </c>
      <c r="K519" s="33">
        <v>0</v>
      </c>
      <c r="L519" s="31">
        <v>0</v>
      </c>
      <c r="M519" s="31">
        <v>959.4</v>
      </c>
      <c r="N519" s="31">
        <v>3648094.17</v>
      </c>
      <c r="O519" s="31">
        <v>0</v>
      </c>
      <c r="P519" s="31">
        <v>0</v>
      </c>
      <c r="Q519" s="31">
        <v>0</v>
      </c>
      <c r="R519" s="31">
        <v>0</v>
      </c>
      <c r="S519" s="31">
        <v>0</v>
      </c>
      <c r="T519" s="31">
        <v>0</v>
      </c>
      <c r="U519" s="31">
        <v>0</v>
      </c>
      <c r="V519" s="31">
        <v>0</v>
      </c>
      <c r="W519" s="31">
        <v>0</v>
      </c>
      <c r="X519" s="31">
        <v>0</v>
      </c>
      <c r="Y519" s="31">
        <v>0</v>
      </c>
      <c r="Z519" s="31">
        <v>0</v>
      </c>
      <c r="AA519" s="31">
        <v>0</v>
      </c>
      <c r="AB519" s="31">
        <v>0</v>
      </c>
      <c r="AC519" s="31">
        <f>ROUND(N519*1.5%,2)</f>
        <v>54721.41</v>
      </c>
      <c r="AD519" s="31">
        <v>0</v>
      </c>
      <c r="AE519" s="31">
        <v>0</v>
      </c>
      <c r="AF519" s="34" t="s">
        <v>274</v>
      </c>
      <c r="AG519" s="34">
        <v>2020</v>
      </c>
      <c r="AH519" s="35">
        <v>2020</v>
      </c>
    </row>
    <row r="520" spans="1:83" ht="61.5" x14ac:dyDescent="0.85">
      <c r="B520" s="24" t="s">
        <v>924</v>
      </c>
      <c r="C520" s="24"/>
      <c r="D520" s="31">
        <f t="shared" ref="D520:AE520" si="210">D521</f>
        <v>3314283.2199999997</v>
      </c>
      <c r="E520" s="31">
        <f t="shared" si="210"/>
        <v>0</v>
      </c>
      <c r="F520" s="31">
        <f t="shared" si="210"/>
        <v>0</v>
      </c>
      <c r="G520" s="31">
        <f t="shared" si="210"/>
        <v>0</v>
      </c>
      <c r="H520" s="31">
        <f t="shared" si="210"/>
        <v>0</v>
      </c>
      <c r="I520" s="31">
        <f t="shared" si="210"/>
        <v>0</v>
      </c>
      <c r="J520" s="31">
        <f t="shared" si="210"/>
        <v>0</v>
      </c>
      <c r="K520" s="33">
        <f t="shared" si="210"/>
        <v>0</v>
      </c>
      <c r="L520" s="31">
        <f t="shared" si="210"/>
        <v>0</v>
      </c>
      <c r="M520" s="31">
        <f t="shared" si="210"/>
        <v>648.6</v>
      </c>
      <c r="N520" s="31">
        <f t="shared" si="210"/>
        <v>3189024.12</v>
      </c>
      <c r="O520" s="31">
        <f t="shared" si="210"/>
        <v>0</v>
      </c>
      <c r="P520" s="31">
        <f t="shared" si="210"/>
        <v>0</v>
      </c>
      <c r="Q520" s="31">
        <f t="shared" si="210"/>
        <v>0</v>
      </c>
      <c r="R520" s="31">
        <f t="shared" si="210"/>
        <v>0</v>
      </c>
      <c r="S520" s="31">
        <f t="shared" si="210"/>
        <v>0</v>
      </c>
      <c r="T520" s="31">
        <f t="shared" si="210"/>
        <v>0</v>
      </c>
      <c r="U520" s="31">
        <f t="shared" si="210"/>
        <v>0</v>
      </c>
      <c r="V520" s="31">
        <f t="shared" si="210"/>
        <v>0</v>
      </c>
      <c r="W520" s="31">
        <f t="shared" si="210"/>
        <v>0</v>
      </c>
      <c r="X520" s="31">
        <f t="shared" si="210"/>
        <v>0</v>
      </c>
      <c r="Y520" s="31">
        <f t="shared" si="210"/>
        <v>0</v>
      </c>
      <c r="Z520" s="31">
        <f t="shared" si="210"/>
        <v>0</v>
      </c>
      <c r="AA520" s="31">
        <f t="shared" si="210"/>
        <v>0</v>
      </c>
      <c r="AB520" s="31">
        <f t="shared" si="210"/>
        <v>0</v>
      </c>
      <c r="AC520" s="31">
        <f t="shared" si="210"/>
        <v>47835.360000000001</v>
      </c>
      <c r="AD520" s="31">
        <f t="shared" si="210"/>
        <v>77423.739999999991</v>
      </c>
      <c r="AE520" s="31">
        <f t="shared" si="210"/>
        <v>0</v>
      </c>
      <c r="AF520" s="72" t="s">
        <v>794</v>
      </c>
      <c r="AG520" s="72" t="s">
        <v>794</v>
      </c>
      <c r="AH520" s="91" t="s">
        <v>794</v>
      </c>
      <c r="AT520" s="20" t="e">
        <f t="shared" ref="AT520:AT527" si="211">VLOOKUP(C520,AW:AX,2,FALSE)</f>
        <v>#N/A</v>
      </c>
    </row>
    <row r="521" spans="1:83" ht="61.5" x14ac:dyDescent="0.85">
      <c r="A521" s="20">
        <v>1</v>
      </c>
      <c r="B521" s="66">
        <f>SUBTOTAL(103,$A$22:A521)</f>
        <v>446</v>
      </c>
      <c r="C521" s="24" t="s">
        <v>92</v>
      </c>
      <c r="D521" s="31">
        <f t="shared" ref="D521" si="212">E521+F521+G521+H521+I521+J521+L521+N521+P521+R521+T521+U521+V521+W521+X521+Y521+Z521+AA521+AB521+AC521+AD521+AE521</f>
        <v>3314283.2199999997</v>
      </c>
      <c r="E521" s="31">
        <v>0</v>
      </c>
      <c r="F521" s="31">
        <v>0</v>
      </c>
      <c r="G521" s="31">
        <v>0</v>
      </c>
      <c r="H521" s="31">
        <v>0</v>
      </c>
      <c r="I521" s="31">
        <v>0</v>
      </c>
      <c r="J521" s="31">
        <v>0</v>
      </c>
      <c r="K521" s="33">
        <v>0</v>
      </c>
      <c r="L521" s="31">
        <v>0</v>
      </c>
      <c r="M521" s="31">
        <v>648.6</v>
      </c>
      <c r="N521" s="31">
        <v>3189024.12</v>
      </c>
      <c r="O521" s="31">
        <v>0</v>
      </c>
      <c r="P521" s="31">
        <v>0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1">
        <v>0</v>
      </c>
      <c r="Y521" s="31">
        <v>0</v>
      </c>
      <c r="Z521" s="31">
        <v>0</v>
      </c>
      <c r="AA521" s="31">
        <v>0</v>
      </c>
      <c r="AB521" s="31">
        <v>0</v>
      </c>
      <c r="AC521" s="31">
        <f>ROUND(N521*1.5%,2)</f>
        <v>47835.360000000001</v>
      </c>
      <c r="AD521" s="31">
        <f>77421.34+2.4</f>
        <v>77423.739999999991</v>
      </c>
      <c r="AE521" s="31">
        <v>0</v>
      </c>
      <c r="AF521" s="34">
        <v>2020</v>
      </c>
      <c r="AG521" s="34">
        <v>2020</v>
      </c>
      <c r="AH521" s="35">
        <v>2020</v>
      </c>
      <c r="AT521" s="20" t="e">
        <f t="shared" si="211"/>
        <v>#N/A</v>
      </c>
    </row>
    <row r="522" spans="1:83" ht="61.5" x14ac:dyDescent="0.85">
      <c r="B522" s="24" t="s">
        <v>898</v>
      </c>
      <c r="C522" s="24"/>
      <c r="D522" s="31">
        <f t="shared" ref="D522:AE522" si="213">D523</f>
        <v>3133080</v>
      </c>
      <c r="E522" s="31">
        <f t="shared" si="213"/>
        <v>0</v>
      </c>
      <c r="F522" s="31">
        <f t="shared" si="213"/>
        <v>0</v>
      </c>
      <c r="G522" s="31">
        <f t="shared" si="213"/>
        <v>0</v>
      </c>
      <c r="H522" s="31">
        <f t="shared" si="213"/>
        <v>0</v>
      </c>
      <c r="I522" s="31">
        <f t="shared" si="213"/>
        <v>0</v>
      </c>
      <c r="J522" s="31">
        <f t="shared" si="213"/>
        <v>0</v>
      </c>
      <c r="K522" s="33">
        <f t="shared" si="213"/>
        <v>0</v>
      </c>
      <c r="L522" s="31">
        <f t="shared" si="213"/>
        <v>0</v>
      </c>
      <c r="M522" s="31">
        <f t="shared" si="213"/>
        <v>600</v>
      </c>
      <c r="N522" s="31">
        <f t="shared" si="213"/>
        <v>2938995.07</v>
      </c>
      <c r="O522" s="31">
        <f t="shared" si="213"/>
        <v>0</v>
      </c>
      <c r="P522" s="31">
        <f t="shared" si="213"/>
        <v>0</v>
      </c>
      <c r="Q522" s="31">
        <f t="shared" si="213"/>
        <v>0</v>
      </c>
      <c r="R522" s="31">
        <f t="shared" si="213"/>
        <v>0</v>
      </c>
      <c r="S522" s="31">
        <f t="shared" si="213"/>
        <v>0</v>
      </c>
      <c r="T522" s="31">
        <f t="shared" si="213"/>
        <v>0</v>
      </c>
      <c r="U522" s="31">
        <f t="shared" si="213"/>
        <v>0</v>
      </c>
      <c r="V522" s="31">
        <f t="shared" si="213"/>
        <v>0</v>
      </c>
      <c r="W522" s="31">
        <f t="shared" si="213"/>
        <v>0</v>
      </c>
      <c r="X522" s="31">
        <f t="shared" si="213"/>
        <v>0</v>
      </c>
      <c r="Y522" s="31">
        <f t="shared" si="213"/>
        <v>0</v>
      </c>
      <c r="Z522" s="31">
        <f t="shared" si="213"/>
        <v>0</v>
      </c>
      <c r="AA522" s="31">
        <f t="shared" si="213"/>
        <v>0</v>
      </c>
      <c r="AB522" s="31">
        <f t="shared" si="213"/>
        <v>0</v>
      </c>
      <c r="AC522" s="31">
        <f t="shared" si="213"/>
        <v>44084.93</v>
      </c>
      <c r="AD522" s="31">
        <f t="shared" si="213"/>
        <v>150000</v>
      </c>
      <c r="AE522" s="31">
        <f t="shared" si="213"/>
        <v>0</v>
      </c>
      <c r="AF522" s="72" t="s">
        <v>794</v>
      </c>
      <c r="AG522" s="72" t="s">
        <v>794</v>
      </c>
      <c r="AH522" s="91" t="s">
        <v>794</v>
      </c>
      <c r="AT522" s="20" t="e">
        <f t="shared" si="211"/>
        <v>#N/A</v>
      </c>
    </row>
    <row r="523" spans="1:83" ht="61.5" x14ac:dyDescent="0.85">
      <c r="A523" s="20">
        <v>1</v>
      </c>
      <c r="B523" s="66">
        <f>SUBTOTAL(103,$A$22:A523)</f>
        <v>447</v>
      </c>
      <c r="C523" s="24" t="s">
        <v>93</v>
      </c>
      <c r="D523" s="31">
        <f t="shared" ref="D523" si="214">E523+F523+G523+H523+I523+J523+L523+N523+P523+R523+T523+U523+V523+W523+X523+Y523+Z523+AA523+AB523+AC523+AD523+AE523</f>
        <v>3133080</v>
      </c>
      <c r="E523" s="31">
        <v>0</v>
      </c>
      <c r="F523" s="31">
        <v>0</v>
      </c>
      <c r="G523" s="31">
        <v>0</v>
      </c>
      <c r="H523" s="31">
        <v>0</v>
      </c>
      <c r="I523" s="31">
        <v>0</v>
      </c>
      <c r="J523" s="31">
        <v>0</v>
      </c>
      <c r="K523" s="33">
        <v>0</v>
      </c>
      <c r="L523" s="31">
        <v>0</v>
      </c>
      <c r="M523" s="31">
        <v>600</v>
      </c>
      <c r="N523" s="31">
        <v>2938995.07</v>
      </c>
      <c r="O523" s="31">
        <v>0</v>
      </c>
      <c r="P523" s="31">
        <v>0</v>
      </c>
      <c r="Q523" s="31">
        <v>0</v>
      </c>
      <c r="R523" s="31">
        <v>0</v>
      </c>
      <c r="S523" s="31">
        <v>0</v>
      </c>
      <c r="T523" s="31">
        <v>0</v>
      </c>
      <c r="U523" s="31">
        <v>0</v>
      </c>
      <c r="V523" s="31">
        <v>0</v>
      </c>
      <c r="W523" s="31">
        <v>0</v>
      </c>
      <c r="X523" s="31">
        <v>0</v>
      </c>
      <c r="Y523" s="31">
        <v>0</v>
      </c>
      <c r="Z523" s="31">
        <v>0</v>
      </c>
      <c r="AA523" s="31">
        <v>0</v>
      </c>
      <c r="AB523" s="31">
        <v>0</v>
      </c>
      <c r="AC523" s="31">
        <f>ROUND(N523*1.5%,2)</f>
        <v>44084.93</v>
      </c>
      <c r="AD523" s="31">
        <v>150000</v>
      </c>
      <c r="AE523" s="31">
        <v>0</v>
      </c>
      <c r="AF523" s="34">
        <v>2020</v>
      </c>
      <c r="AG523" s="34">
        <v>2020</v>
      </c>
      <c r="AH523" s="35">
        <v>2020</v>
      </c>
      <c r="AT523" s="20" t="e">
        <f t="shared" si="211"/>
        <v>#N/A</v>
      </c>
    </row>
    <row r="524" spans="1:83" ht="61.5" x14ac:dyDescent="0.85">
      <c r="B524" s="24" t="s">
        <v>899</v>
      </c>
      <c r="C524" s="24"/>
      <c r="D524" s="31">
        <f t="shared" ref="D524:AE524" si="215">D525</f>
        <v>5968517.3999999994</v>
      </c>
      <c r="E524" s="31">
        <f t="shared" si="215"/>
        <v>0</v>
      </c>
      <c r="F524" s="31">
        <f t="shared" si="215"/>
        <v>0</v>
      </c>
      <c r="G524" s="31">
        <f t="shared" si="215"/>
        <v>0</v>
      </c>
      <c r="H524" s="31">
        <f t="shared" si="215"/>
        <v>0</v>
      </c>
      <c r="I524" s="31">
        <f t="shared" si="215"/>
        <v>0</v>
      </c>
      <c r="J524" s="31">
        <f t="shared" si="215"/>
        <v>0</v>
      </c>
      <c r="K524" s="33">
        <f t="shared" si="215"/>
        <v>0</v>
      </c>
      <c r="L524" s="31">
        <f t="shared" si="215"/>
        <v>0</v>
      </c>
      <c r="M524" s="31">
        <f t="shared" si="215"/>
        <v>1143</v>
      </c>
      <c r="N524" s="31">
        <f t="shared" si="215"/>
        <v>5702972.8099999996</v>
      </c>
      <c r="O524" s="31">
        <f t="shared" si="215"/>
        <v>0</v>
      </c>
      <c r="P524" s="31">
        <f t="shared" si="215"/>
        <v>0</v>
      </c>
      <c r="Q524" s="31">
        <f t="shared" si="215"/>
        <v>0</v>
      </c>
      <c r="R524" s="31">
        <f t="shared" si="215"/>
        <v>0</v>
      </c>
      <c r="S524" s="31">
        <f t="shared" si="215"/>
        <v>0</v>
      </c>
      <c r="T524" s="31">
        <f t="shared" si="215"/>
        <v>0</v>
      </c>
      <c r="U524" s="31">
        <f t="shared" si="215"/>
        <v>0</v>
      </c>
      <c r="V524" s="31">
        <f t="shared" si="215"/>
        <v>0</v>
      </c>
      <c r="W524" s="31">
        <f t="shared" si="215"/>
        <v>0</v>
      </c>
      <c r="X524" s="31">
        <f t="shared" si="215"/>
        <v>0</v>
      </c>
      <c r="Y524" s="31">
        <f t="shared" si="215"/>
        <v>0</v>
      </c>
      <c r="Z524" s="31">
        <f t="shared" si="215"/>
        <v>0</v>
      </c>
      <c r="AA524" s="31">
        <f t="shared" si="215"/>
        <v>0</v>
      </c>
      <c r="AB524" s="31">
        <f t="shared" si="215"/>
        <v>0</v>
      </c>
      <c r="AC524" s="31">
        <f t="shared" si="215"/>
        <v>85544.59</v>
      </c>
      <c r="AD524" s="31">
        <f t="shared" si="215"/>
        <v>180000</v>
      </c>
      <c r="AE524" s="31">
        <f t="shared" si="215"/>
        <v>0</v>
      </c>
      <c r="AF524" s="72" t="s">
        <v>794</v>
      </c>
      <c r="AG524" s="72" t="s">
        <v>794</v>
      </c>
      <c r="AH524" s="91" t="s">
        <v>794</v>
      </c>
      <c r="AT524" s="20" t="e">
        <f t="shared" si="211"/>
        <v>#N/A</v>
      </c>
    </row>
    <row r="525" spans="1:83" ht="61.5" x14ac:dyDescent="0.85">
      <c r="A525" s="20">
        <v>1</v>
      </c>
      <c r="B525" s="66">
        <f>SUBTOTAL(103,$A$22:A525)</f>
        <v>448</v>
      </c>
      <c r="C525" s="24" t="s">
        <v>94</v>
      </c>
      <c r="D525" s="31">
        <f t="shared" ref="D525" si="216">E525+F525+G525+H525+I525+J525+L525+N525+P525+R525+T525+U525+V525+W525+X525+Y525+Z525+AA525+AB525+AC525+AD525+AE525</f>
        <v>5968517.3999999994</v>
      </c>
      <c r="E525" s="31">
        <v>0</v>
      </c>
      <c r="F525" s="31">
        <v>0</v>
      </c>
      <c r="G525" s="31">
        <v>0</v>
      </c>
      <c r="H525" s="31">
        <v>0</v>
      </c>
      <c r="I525" s="31">
        <v>0</v>
      </c>
      <c r="J525" s="31">
        <v>0</v>
      </c>
      <c r="K525" s="33">
        <v>0</v>
      </c>
      <c r="L525" s="31">
        <v>0</v>
      </c>
      <c r="M525" s="31">
        <v>1143</v>
      </c>
      <c r="N525" s="31">
        <v>5702972.8099999996</v>
      </c>
      <c r="O525" s="31">
        <v>0</v>
      </c>
      <c r="P525" s="31">
        <v>0</v>
      </c>
      <c r="Q525" s="31">
        <v>0</v>
      </c>
      <c r="R525" s="31">
        <v>0</v>
      </c>
      <c r="S525" s="31">
        <v>0</v>
      </c>
      <c r="T525" s="31">
        <v>0</v>
      </c>
      <c r="U525" s="31">
        <v>0</v>
      </c>
      <c r="V525" s="31">
        <v>0</v>
      </c>
      <c r="W525" s="31">
        <v>0</v>
      </c>
      <c r="X525" s="31">
        <v>0</v>
      </c>
      <c r="Y525" s="31">
        <v>0</v>
      </c>
      <c r="Z525" s="31">
        <v>0</v>
      </c>
      <c r="AA525" s="31">
        <v>0</v>
      </c>
      <c r="AB525" s="31">
        <v>0</v>
      </c>
      <c r="AC525" s="31">
        <f>ROUND(N525*1.5%,2)</f>
        <v>85544.59</v>
      </c>
      <c r="AD525" s="31">
        <v>180000</v>
      </c>
      <c r="AE525" s="31">
        <v>0</v>
      </c>
      <c r="AF525" s="34">
        <v>2020</v>
      </c>
      <c r="AG525" s="34">
        <v>2020</v>
      </c>
      <c r="AH525" s="35">
        <v>2020</v>
      </c>
      <c r="AT525" s="20" t="e">
        <f t="shared" si="211"/>
        <v>#N/A</v>
      </c>
    </row>
    <row r="526" spans="1:83" ht="61.5" x14ac:dyDescent="0.85">
      <c r="B526" s="24" t="s">
        <v>900</v>
      </c>
      <c r="C526" s="24"/>
      <c r="D526" s="31">
        <f t="shared" ref="D526:AE526" si="217">D527</f>
        <v>3253210.4899999998</v>
      </c>
      <c r="E526" s="31">
        <f t="shared" si="217"/>
        <v>0</v>
      </c>
      <c r="F526" s="31">
        <f t="shared" si="217"/>
        <v>0</v>
      </c>
      <c r="G526" s="31">
        <f t="shared" si="217"/>
        <v>0</v>
      </c>
      <c r="H526" s="31">
        <f t="shared" si="217"/>
        <v>0</v>
      </c>
      <c r="I526" s="31">
        <f t="shared" si="217"/>
        <v>0</v>
      </c>
      <c r="J526" s="31">
        <f t="shared" si="217"/>
        <v>0</v>
      </c>
      <c r="K526" s="33">
        <f t="shared" si="217"/>
        <v>0</v>
      </c>
      <c r="L526" s="31">
        <f t="shared" si="217"/>
        <v>0</v>
      </c>
      <c r="M526" s="31">
        <f t="shared" si="217"/>
        <v>600</v>
      </c>
      <c r="N526" s="31">
        <f t="shared" si="217"/>
        <v>3126378.1399999997</v>
      </c>
      <c r="O526" s="31">
        <f t="shared" si="217"/>
        <v>0</v>
      </c>
      <c r="P526" s="31">
        <f t="shared" si="217"/>
        <v>0</v>
      </c>
      <c r="Q526" s="31">
        <f t="shared" si="217"/>
        <v>0</v>
      </c>
      <c r="R526" s="31">
        <f t="shared" si="217"/>
        <v>0</v>
      </c>
      <c r="S526" s="31">
        <f t="shared" si="217"/>
        <v>0</v>
      </c>
      <c r="T526" s="31">
        <f t="shared" si="217"/>
        <v>0</v>
      </c>
      <c r="U526" s="31">
        <f t="shared" si="217"/>
        <v>0</v>
      </c>
      <c r="V526" s="31">
        <f t="shared" si="217"/>
        <v>0</v>
      </c>
      <c r="W526" s="31">
        <f t="shared" si="217"/>
        <v>0</v>
      </c>
      <c r="X526" s="31">
        <f t="shared" si="217"/>
        <v>0</v>
      </c>
      <c r="Y526" s="31">
        <f t="shared" si="217"/>
        <v>0</v>
      </c>
      <c r="Z526" s="31">
        <f t="shared" si="217"/>
        <v>0</v>
      </c>
      <c r="AA526" s="31">
        <f t="shared" si="217"/>
        <v>0</v>
      </c>
      <c r="AB526" s="31">
        <f t="shared" si="217"/>
        <v>0</v>
      </c>
      <c r="AC526" s="31">
        <f t="shared" si="217"/>
        <v>46895.67</v>
      </c>
      <c r="AD526" s="31">
        <f t="shared" si="217"/>
        <v>79936.679999999993</v>
      </c>
      <c r="AE526" s="31">
        <f t="shared" si="217"/>
        <v>0</v>
      </c>
      <c r="AF526" s="72" t="s">
        <v>794</v>
      </c>
      <c r="AG526" s="72" t="s">
        <v>794</v>
      </c>
      <c r="AH526" s="91" t="s">
        <v>794</v>
      </c>
      <c r="AT526" s="20" t="e">
        <f t="shared" si="211"/>
        <v>#N/A</v>
      </c>
    </row>
    <row r="527" spans="1:83" ht="61.5" x14ac:dyDescent="0.85">
      <c r="A527" s="20">
        <v>1</v>
      </c>
      <c r="B527" s="66">
        <f>SUBTOTAL(103,$A$22:A527)</f>
        <v>449</v>
      </c>
      <c r="C527" s="24" t="s">
        <v>95</v>
      </c>
      <c r="D527" s="31">
        <f t="shared" ref="D527" si="218">E527+F527+G527+H527+I527+J527+L527+N527+P527+R527+T527+U527+V527+W527+X527+Y527+Z527+AA527+AB527+AC527+AD527+AE527</f>
        <v>3253210.4899999998</v>
      </c>
      <c r="E527" s="31">
        <v>0</v>
      </c>
      <c r="F527" s="31">
        <v>0</v>
      </c>
      <c r="G527" s="31">
        <v>0</v>
      </c>
      <c r="H527" s="31">
        <v>0</v>
      </c>
      <c r="I527" s="31">
        <v>0</v>
      </c>
      <c r="J527" s="31">
        <v>0</v>
      </c>
      <c r="K527" s="33">
        <v>0</v>
      </c>
      <c r="L527" s="31">
        <v>0</v>
      </c>
      <c r="M527" s="31">
        <v>600</v>
      </c>
      <c r="N527" s="31">
        <f>2938995.07+187383.07</f>
        <v>3126378.1399999997</v>
      </c>
      <c r="O527" s="31">
        <v>0</v>
      </c>
      <c r="P527" s="31">
        <v>0</v>
      </c>
      <c r="Q527" s="31">
        <v>0</v>
      </c>
      <c r="R527" s="31">
        <v>0</v>
      </c>
      <c r="S527" s="31">
        <v>0</v>
      </c>
      <c r="T527" s="31">
        <v>0</v>
      </c>
      <c r="U527" s="31">
        <v>0</v>
      </c>
      <c r="V527" s="31">
        <v>0</v>
      </c>
      <c r="W527" s="31">
        <v>0</v>
      </c>
      <c r="X527" s="31">
        <v>0</v>
      </c>
      <c r="Y527" s="31">
        <v>0</v>
      </c>
      <c r="Z527" s="31">
        <v>0</v>
      </c>
      <c r="AA527" s="31">
        <v>0</v>
      </c>
      <c r="AB527" s="31">
        <v>0</v>
      </c>
      <c r="AC527" s="31">
        <f>ROUND(N527*1.5%,2)</f>
        <v>46895.67</v>
      </c>
      <c r="AD527" s="31">
        <v>79936.679999999993</v>
      </c>
      <c r="AE527" s="31">
        <v>0</v>
      </c>
      <c r="AF527" s="34">
        <v>2020</v>
      </c>
      <c r="AG527" s="34">
        <v>2020</v>
      </c>
      <c r="AH527" s="35">
        <v>2020</v>
      </c>
      <c r="AT527" s="20" t="e">
        <f t="shared" si="211"/>
        <v>#N/A</v>
      </c>
    </row>
    <row r="528" spans="1:83" ht="61.5" x14ac:dyDescent="0.85">
      <c r="B528" s="24" t="s">
        <v>1338</v>
      </c>
      <c r="C528" s="24"/>
      <c r="D528" s="31">
        <f>D529</f>
        <v>2309984.35</v>
      </c>
      <c r="E528" s="31">
        <f t="shared" ref="E528:AE528" si="219">E529</f>
        <v>0</v>
      </c>
      <c r="F528" s="31">
        <f t="shared" si="219"/>
        <v>0</v>
      </c>
      <c r="G528" s="31">
        <f t="shared" si="219"/>
        <v>1528355.34</v>
      </c>
      <c r="H528" s="31">
        <f t="shared" si="219"/>
        <v>173337.94</v>
      </c>
      <c r="I528" s="31">
        <f t="shared" si="219"/>
        <v>574321.54</v>
      </c>
      <c r="J528" s="31">
        <f t="shared" si="219"/>
        <v>0</v>
      </c>
      <c r="K528" s="33">
        <f t="shared" si="219"/>
        <v>0</v>
      </c>
      <c r="L528" s="31">
        <f t="shared" si="219"/>
        <v>0</v>
      </c>
      <c r="M528" s="31">
        <f t="shared" si="219"/>
        <v>0</v>
      </c>
      <c r="N528" s="31">
        <f t="shared" si="219"/>
        <v>0</v>
      </c>
      <c r="O528" s="31">
        <f t="shared" si="219"/>
        <v>0</v>
      </c>
      <c r="P528" s="31">
        <f t="shared" si="219"/>
        <v>0</v>
      </c>
      <c r="Q528" s="31">
        <f t="shared" si="219"/>
        <v>0</v>
      </c>
      <c r="R528" s="31">
        <f t="shared" si="219"/>
        <v>0</v>
      </c>
      <c r="S528" s="31">
        <f t="shared" si="219"/>
        <v>0</v>
      </c>
      <c r="T528" s="31">
        <f t="shared" si="219"/>
        <v>0</v>
      </c>
      <c r="U528" s="31">
        <f t="shared" si="219"/>
        <v>0</v>
      </c>
      <c r="V528" s="31">
        <f t="shared" si="219"/>
        <v>0</v>
      </c>
      <c r="W528" s="31">
        <f t="shared" si="219"/>
        <v>0</v>
      </c>
      <c r="X528" s="31">
        <f t="shared" si="219"/>
        <v>0</v>
      </c>
      <c r="Y528" s="31">
        <f t="shared" si="219"/>
        <v>0</v>
      </c>
      <c r="Z528" s="31">
        <f t="shared" si="219"/>
        <v>0</v>
      </c>
      <c r="AA528" s="31">
        <f t="shared" si="219"/>
        <v>0</v>
      </c>
      <c r="AB528" s="31">
        <f t="shared" si="219"/>
        <v>0</v>
      </c>
      <c r="AC528" s="31">
        <f t="shared" si="219"/>
        <v>33969.53</v>
      </c>
      <c r="AD528" s="31">
        <f t="shared" si="219"/>
        <v>0</v>
      </c>
      <c r="AE528" s="31">
        <f t="shared" si="219"/>
        <v>0</v>
      </c>
      <c r="AF528" s="72" t="s">
        <v>794</v>
      </c>
      <c r="AG528" s="72" t="s">
        <v>794</v>
      </c>
      <c r="AH528" s="91" t="s">
        <v>794</v>
      </c>
    </row>
    <row r="529" spans="1:46" ht="61.5" x14ac:dyDescent="0.85">
      <c r="A529" s="20">
        <v>1</v>
      </c>
      <c r="B529" s="66">
        <f>SUBTOTAL(103,$A$22:A529)</f>
        <v>450</v>
      </c>
      <c r="C529" s="24" t="s">
        <v>1339</v>
      </c>
      <c r="D529" s="31">
        <f t="shared" ref="D529" si="220">E529+F529+G529+H529+I529+J529+L529+N529+P529+R529+T529+U529+V529+W529+X529+Y529+Z529+AA529+AB529+AC529+AD529+AE529</f>
        <v>2309984.35</v>
      </c>
      <c r="E529" s="31">
        <v>0</v>
      </c>
      <c r="F529" s="31">
        <v>0</v>
      </c>
      <c r="G529" s="31">
        <f>1435759.25+92596.09</f>
        <v>1528355.34</v>
      </c>
      <c r="H529" s="31">
        <v>173337.94</v>
      </c>
      <c r="I529" s="31">
        <v>574321.54</v>
      </c>
      <c r="J529" s="31">
        <v>0</v>
      </c>
      <c r="K529" s="33">
        <v>0</v>
      </c>
      <c r="L529" s="31">
        <v>0</v>
      </c>
      <c r="M529" s="31">
        <v>0</v>
      </c>
      <c r="N529" s="31">
        <v>0</v>
      </c>
      <c r="O529" s="31">
        <v>0</v>
      </c>
      <c r="P529" s="31">
        <v>0</v>
      </c>
      <c r="Q529" s="31">
        <v>0</v>
      </c>
      <c r="R529" s="31">
        <v>0</v>
      </c>
      <c r="S529" s="31">
        <v>0</v>
      </c>
      <c r="T529" s="31">
        <v>0</v>
      </c>
      <c r="U529" s="31">
        <v>0</v>
      </c>
      <c r="V529" s="31">
        <v>0</v>
      </c>
      <c r="W529" s="31">
        <v>0</v>
      </c>
      <c r="X529" s="31">
        <v>0</v>
      </c>
      <c r="Y529" s="31">
        <v>0</v>
      </c>
      <c r="Z529" s="31">
        <v>0</v>
      </c>
      <c r="AA529" s="31">
        <v>0</v>
      </c>
      <c r="AB529" s="31">
        <v>0</v>
      </c>
      <c r="AC529" s="31">
        <f>ROUND((E529+F529+G529+H529+I529+J529)*1.4925%,2)+0.01</f>
        <v>33969.53</v>
      </c>
      <c r="AD529" s="31">
        <v>0</v>
      </c>
      <c r="AE529" s="31">
        <v>0</v>
      </c>
      <c r="AF529" s="34" t="s">
        <v>274</v>
      </c>
      <c r="AG529" s="34">
        <v>2020</v>
      </c>
      <c r="AH529" s="35">
        <v>2020</v>
      </c>
    </row>
    <row r="530" spans="1:46" ht="61.5" x14ac:dyDescent="0.85">
      <c r="B530" s="24" t="s">
        <v>901</v>
      </c>
      <c r="C530" s="117"/>
      <c r="D530" s="31">
        <f>SUM(D531:D536)</f>
        <v>7354613.0300000003</v>
      </c>
      <c r="E530" s="31">
        <f t="shared" ref="E530:AE530" si="221">SUM(E531:E536)</f>
        <v>0</v>
      </c>
      <c r="F530" s="31">
        <f t="shared" si="221"/>
        <v>0</v>
      </c>
      <c r="G530" s="31">
        <f t="shared" si="221"/>
        <v>0</v>
      </c>
      <c r="H530" s="31">
        <f t="shared" si="221"/>
        <v>0</v>
      </c>
      <c r="I530" s="31">
        <f t="shared" si="221"/>
        <v>1000000</v>
      </c>
      <c r="J530" s="31">
        <f t="shared" si="221"/>
        <v>0</v>
      </c>
      <c r="K530" s="33">
        <f t="shared" si="221"/>
        <v>0</v>
      </c>
      <c r="L530" s="31">
        <f t="shared" si="221"/>
        <v>0</v>
      </c>
      <c r="M530" s="31">
        <f t="shared" si="221"/>
        <v>1369.4</v>
      </c>
      <c r="N530" s="31">
        <f t="shared" si="221"/>
        <v>5654791.1499999994</v>
      </c>
      <c r="O530" s="31">
        <f t="shared" si="221"/>
        <v>0</v>
      </c>
      <c r="P530" s="31">
        <f t="shared" si="221"/>
        <v>0</v>
      </c>
      <c r="Q530" s="31">
        <f t="shared" si="221"/>
        <v>0</v>
      </c>
      <c r="R530" s="31">
        <f t="shared" si="221"/>
        <v>0</v>
      </c>
      <c r="S530" s="31">
        <f t="shared" si="221"/>
        <v>0</v>
      </c>
      <c r="T530" s="31">
        <f t="shared" si="221"/>
        <v>0</v>
      </c>
      <c r="U530" s="31">
        <f t="shared" si="221"/>
        <v>0</v>
      </c>
      <c r="V530" s="31">
        <f t="shared" si="221"/>
        <v>0</v>
      </c>
      <c r="W530" s="31">
        <f t="shared" si="221"/>
        <v>0</v>
      </c>
      <c r="X530" s="31">
        <f t="shared" si="221"/>
        <v>0</v>
      </c>
      <c r="Y530" s="31">
        <f t="shared" si="221"/>
        <v>0</v>
      </c>
      <c r="Z530" s="31">
        <f t="shared" si="221"/>
        <v>0</v>
      </c>
      <c r="AA530" s="31">
        <f t="shared" si="221"/>
        <v>0</v>
      </c>
      <c r="AB530" s="31">
        <f t="shared" si="221"/>
        <v>0</v>
      </c>
      <c r="AC530" s="31">
        <f t="shared" si="221"/>
        <v>99821.87999999999</v>
      </c>
      <c r="AD530" s="31">
        <f t="shared" si="221"/>
        <v>240000</v>
      </c>
      <c r="AE530" s="31">
        <f t="shared" si="221"/>
        <v>360000</v>
      </c>
      <c r="AF530" s="72" t="s">
        <v>794</v>
      </c>
      <c r="AG530" s="72" t="s">
        <v>794</v>
      </c>
      <c r="AH530" s="91" t="s">
        <v>794</v>
      </c>
      <c r="AT530" s="20" t="e">
        <f>VLOOKUP(C530,AW:AX,2,FALSE)</f>
        <v>#N/A</v>
      </c>
    </row>
    <row r="531" spans="1:46" ht="61.5" x14ac:dyDescent="0.85">
      <c r="A531" s="20">
        <v>1</v>
      </c>
      <c r="B531" s="66">
        <f>SUBTOTAL(103,$A$22:A531)</f>
        <v>451</v>
      </c>
      <c r="C531" s="24" t="s">
        <v>189</v>
      </c>
      <c r="D531" s="31">
        <f t="shared" ref="D531:D536" si="222">E531+F531+G531+H531+I531+J531+L531+N531+P531+R531+T531+U531+V531+W531+X531+Y531+Z531+AA531+AB531+AC531+AD531+AE531</f>
        <v>1157700</v>
      </c>
      <c r="E531" s="31">
        <v>0</v>
      </c>
      <c r="F531" s="31">
        <v>0</v>
      </c>
      <c r="G531" s="31">
        <v>0</v>
      </c>
      <c r="H531" s="31">
        <v>0</v>
      </c>
      <c r="I531" s="31">
        <v>0</v>
      </c>
      <c r="J531" s="31">
        <v>0</v>
      </c>
      <c r="K531" s="33">
        <v>0</v>
      </c>
      <c r="L531" s="31">
        <v>0</v>
      </c>
      <c r="M531" s="31">
        <v>227</v>
      </c>
      <c r="N531" s="31">
        <v>1022364.53</v>
      </c>
      <c r="O531" s="31">
        <v>0</v>
      </c>
      <c r="P531" s="31">
        <v>0</v>
      </c>
      <c r="Q531" s="31">
        <v>0</v>
      </c>
      <c r="R531" s="31">
        <v>0</v>
      </c>
      <c r="S531" s="31">
        <v>0</v>
      </c>
      <c r="T531" s="31">
        <v>0</v>
      </c>
      <c r="U531" s="31">
        <v>0</v>
      </c>
      <c r="V531" s="31">
        <v>0</v>
      </c>
      <c r="W531" s="31">
        <v>0</v>
      </c>
      <c r="X531" s="31">
        <v>0</v>
      </c>
      <c r="Y531" s="31">
        <v>0</v>
      </c>
      <c r="Z531" s="31">
        <v>0</v>
      </c>
      <c r="AA531" s="31">
        <v>0</v>
      </c>
      <c r="AB531" s="31">
        <v>0</v>
      </c>
      <c r="AC531" s="31">
        <f t="shared" ref="AC531:AC534" si="223">ROUND(N531*1.5%,2)</f>
        <v>15335.47</v>
      </c>
      <c r="AD531" s="31">
        <v>120000</v>
      </c>
      <c r="AE531" s="31">
        <v>0</v>
      </c>
      <c r="AF531" s="34">
        <v>2020</v>
      </c>
      <c r="AG531" s="34">
        <v>2020</v>
      </c>
      <c r="AH531" s="35">
        <v>2020</v>
      </c>
      <c r="AT531" s="20" t="e">
        <f>VLOOKUP(C531,AW:AX,2,FALSE)</f>
        <v>#N/A</v>
      </c>
    </row>
    <row r="532" spans="1:46" ht="61.5" x14ac:dyDescent="0.85">
      <c r="A532" s="20">
        <v>1</v>
      </c>
      <c r="B532" s="66">
        <f>SUBTOTAL(103,$A$22:A532)</f>
        <v>452</v>
      </c>
      <c r="C532" s="24" t="s">
        <v>188</v>
      </c>
      <c r="D532" s="31">
        <f t="shared" si="222"/>
        <v>1514699.9999999998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3">
        <v>0</v>
      </c>
      <c r="L532" s="31">
        <v>0</v>
      </c>
      <c r="M532" s="31">
        <v>297</v>
      </c>
      <c r="N532" s="31">
        <f>1374088.67-118226.6</f>
        <v>1255862.0699999998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1">
        <v>0</v>
      </c>
      <c r="AA532" s="31">
        <v>0</v>
      </c>
      <c r="AB532" s="31">
        <v>0</v>
      </c>
      <c r="AC532" s="31">
        <f t="shared" si="223"/>
        <v>18837.93</v>
      </c>
      <c r="AD532" s="31">
        <v>120000</v>
      </c>
      <c r="AE532" s="31">
        <v>120000</v>
      </c>
      <c r="AF532" s="34">
        <v>2020</v>
      </c>
      <c r="AG532" s="34">
        <v>2020</v>
      </c>
      <c r="AH532" s="35">
        <v>2020</v>
      </c>
      <c r="AT532" s="20" t="e">
        <f>VLOOKUP(C532,AW:AX,2,FALSE)</f>
        <v>#N/A</v>
      </c>
    </row>
    <row r="533" spans="1:46" ht="61.5" x14ac:dyDescent="0.85">
      <c r="A533" s="20">
        <v>1</v>
      </c>
      <c r="B533" s="66">
        <f>SUBTOTAL(103,$A$22:A533)</f>
        <v>453</v>
      </c>
      <c r="C533" s="24" t="s">
        <v>1340</v>
      </c>
      <c r="D533" s="31">
        <f t="shared" si="222"/>
        <v>2173966.8199999998</v>
      </c>
      <c r="E533" s="31">
        <v>0</v>
      </c>
      <c r="F533" s="31">
        <v>0</v>
      </c>
      <c r="G533" s="31">
        <v>0</v>
      </c>
      <c r="H533" s="31">
        <v>0</v>
      </c>
      <c r="I533" s="31">
        <v>0</v>
      </c>
      <c r="J533" s="31">
        <v>0</v>
      </c>
      <c r="K533" s="33">
        <v>0</v>
      </c>
      <c r="L533" s="31">
        <v>0</v>
      </c>
      <c r="M533" s="31">
        <v>437.4</v>
      </c>
      <c r="N533" s="31">
        <v>2023612.63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0</v>
      </c>
      <c r="Y533" s="31">
        <v>0</v>
      </c>
      <c r="Z533" s="31">
        <v>0</v>
      </c>
      <c r="AA533" s="31">
        <v>0</v>
      </c>
      <c r="AB533" s="31">
        <v>0</v>
      </c>
      <c r="AC533" s="31">
        <f t="shared" si="223"/>
        <v>30354.19</v>
      </c>
      <c r="AD533" s="31">
        <v>0</v>
      </c>
      <c r="AE533" s="31">
        <v>120000</v>
      </c>
      <c r="AF533" s="34" t="s">
        <v>274</v>
      </c>
      <c r="AG533" s="34">
        <v>2020</v>
      </c>
      <c r="AH533" s="35">
        <v>2020</v>
      </c>
    </row>
    <row r="534" spans="1:46" ht="61.5" x14ac:dyDescent="0.85">
      <c r="A534" s="20">
        <v>1</v>
      </c>
      <c r="B534" s="66">
        <f>SUBTOTAL(103,$A$22:A534)</f>
        <v>454</v>
      </c>
      <c r="C534" s="24" t="s">
        <v>1341</v>
      </c>
      <c r="D534" s="31">
        <f t="shared" si="222"/>
        <v>1493246.2</v>
      </c>
      <c r="E534" s="31">
        <v>0</v>
      </c>
      <c r="F534" s="31">
        <v>0</v>
      </c>
      <c r="G534" s="31">
        <v>0</v>
      </c>
      <c r="H534" s="31">
        <v>0</v>
      </c>
      <c r="I534" s="31">
        <v>0</v>
      </c>
      <c r="J534" s="31">
        <v>0</v>
      </c>
      <c r="K534" s="33">
        <v>0</v>
      </c>
      <c r="L534" s="31">
        <v>0</v>
      </c>
      <c r="M534" s="31">
        <v>408</v>
      </c>
      <c r="N534" s="31">
        <f>1302287.65+50664.27</f>
        <v>1352951.92</v>
      </c>
      <c r="O534" s="31">
        <v>0</v>
      </c>
      <c r="P534" s="31">
        <v>0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v>0</v>
      </c>
      <c r="Y534" s="31">
        <v>0</v>
      </c>
      <c r="Z534" s="31">
        <v>0</v>
      </c>
      <c r="AA534" s="31">
        <v>0</v>
      </c>
      <c r="AB534" s="31">
        <v>0</v>
      </c>
      <c r="AC534" s="31">
        <f t="shared" si="223"/>
        <v>20294.28</v>
      </c>
      <c r="AD534" s="31">
        <v>0</v>
      </c>
      <c r="AE534" s="31">
        <v>120000</v>
      </c>
      <c r="AF534" s="34" t="s">
        <v>274</v>
      </c>
      <c r="AG534" s="34">
        <v>2020</v>
      </c>
      <c r="AH534" s="35">
        <v>2020</v>
      </c>
    </row>
    <row r="535" spans="1:46" ht="61.5" x14ac:dyDescent="0.85">
      <c r="A535" s="20">
        <v>1</v>
      </c>
      <c r="B535" s="66">
        <f>SUBTOTAL(103,$A$22:A535)</f>
        <v>455</v>
      </c>
      <c r="C535" s="24" t="s">
        <v>1342</v>
      </c>
      <c r="D535" s="31">
        <f t="shared" si="222"/>
        <v>507500.01</v>
      </c>
      <c r="E535" s="31">
        <v>0</v>
      </c>
      <c r="F535" s="31">
        <v>0</v>
      </c>
      <c r="G535" s="31">
        <v>0</v>
      </c>
      <c r="H535" s="31">
        <v>0</v>
      </c>
      <c r="I535" s="31">
        <f>500000</f>
        <v>500000</v>
      </c>
      <c r="J535" s="31">
        <v>0</v>
      </c>
      <c r="K535" s="33">
        <v>0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v>0</v>
      </c>
      <c r="Y535" s="31">
        <v>0</v>
      </c>
      <c r="Z535" s="31">
        <v>0</v>
      </c>
      <c r="AA535" s="31">
        <v>0</v>
      </c>
      <c r="AB535" s="31">
        <v>0</v>
      </c>
      <c r="AC535" s="31">
        <f>ROUND(I535*1.5%,2)+0.01</f>
        <v>7500.01</v>
      </c>
      <c r="AD535" s="31">
        <v>0</v>
      </c>
      <c r="AE535" s="31">
        <v>0</v>
      </c>
      <c r="AF535" s="34" t="s">
        <v>274</v>
      </c>
      <c r="AG535" s="34">
        <v>2020</v>
      </c>
      <c r="AH535" s="35">
        <v>2020</v>
      </c>
    </row>
    <row r="536" spans="1:46" ht="61.5" x14ac:dyDescent="0.85">
      <c r="A536" s="20">
        <v>1</v>
      </c>
      <c r="B536" s="66">
        <f>SUBTOTAL(103,$A$22:A536)</f>
        <v>456</v>
      </c>
      <c r="C536" s="24" t="s">
        <v>1343</v>
      </c>
      <c r="D536" s="31">
        <f t="shared" si="222"/>
        <v>507500</v>
      </c>
      <c r="E536" s="31">
        <v>0</v>
      </c>
      <c r="F536" s="31">
        <v>0</v>
      </c>
      <c r="G536" s="31">
        <v>0</v>
      </c>
      <c r="H536" s="31">
        <v>0</v>
      </c>
      <c r="I536" s="31">
        <f>500000</f>
        <v>500000</v>
      </c>
      <c r="J536" s="31">
        <v>0</v>
      </c>
      <c r="K536" s="33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1">
        <v>0</v>
      </c>
      <c r="Y536" s="31">
        <v>0</v>
      </c>
      <c r="Z536" s="31">
        <v>0</v>
      </c>
      <c r="AA536" s="31">
        <v>0</v>
      </c>
      <c r="AB536" s="31">
        <v>0</v>
      </c>
      <c r="AC536" s="31">
        <f>ROUND(I536*1.5%,2)</f>
        <v>7500</v>
      </c>
      <c r="AD536" s="31">
        <v>0</v>
      </c>
      <c r="AE536" s="31">
        <v>0</v>
      </c>
      <c r="AF536" s="34" t="s">
        <v>274</v>
      </c>
      <c r="AG536" s="34">
        <v>2020</v>
      </c>
      <c r="AH536" s="35">
        <v>2020</v>
      </c>
    </row>
    <row r="537" spans="1:46" ht="61.5" x14ac:dyDescent="0.85">
      <c r="B537" s="24" t="s">
        <v>902</v>
      </c>
      <c r="C537" s="24"/>
      <c r="D537" s="31">
        <f t="shared" ref="D537:AE537" si="224">D538</f>
        <v>5403513.4500000002</v>
      </c>
      <c r="E537" s="31">
        <f t="shared" si="224"/>
        <v>0</v>
      </c>
      <c r="F537" s="31">
        <f t="shared" si="224"/>
        <v>0</v>
      </c>
      <c r="G537" s="31">
        <f t="shared" si="224"/>
        <v>0</v>
      </c>
      <c r="H537" s="31">
        <f t="shared" si="224"/>
        <v>0</v>
      </c>
      <c r="I537" s="31">
        <f t="shared" si="224"/>
        <v>0</v>
      </c>
      <c r="J537" s="31">
        <f t="shared" si="224"/>
        <v>0</v>
      </c>
      <c r="K537" s="33">
        <f t="shared" si="224"/>
        <v>0</v>
      </c>
      <c r="L537" s="31">
        <f t="shared" si="224"/>
        <v>0</v>
      </c>
      <c r="M537" s="31">
        <f t="shared" si="224"/>
        <v>960</v>
      </c>
      <c r="N537" s="31">
        <f t="shared" si="224"/>
        <v>5175875.32</v>
      </c>
      <c r="O537" s="31">
        <f t="shared" si="224"/>
        <v>0</v>
      </c>
      <c r="P537" s="31">
        <f t="shared" si="224"/>
        <v>0</v>
      </c>
      <c r="Q537" s="31">
        <f t="shared" si="224"/>
        <v>0</v>
      </c>
      <c r="R537" s="31">
        <f t="shared" si="224"/>
        <v>0</v>
      </c>
      <c r="S537" s="31">
        <f t="shared" si="224"/>
        <v>0</v>
      </c>
      <c r="T537" s="31">
        <f t="shared" si="224"/>
        <v>0</v>
      </c>
      <c r="U537" s="31">
        <f t="shared" si="224"/>
        <v>0</v>
      </c>
      <c r="V537" s="31">
        <f t="shared" si="224"/>
        <v>0</v>
      </c>
      <c r="W537" s="31">
        <f t="shared" si="224"/>
        <v>0</v>
      </c>
      <c r="X537" s="31">
        <f t="shared" si="224"/>
        <v>0</v>
      </c>
      <c r="Y537" s="31">
        <f t="shared" si="224"/>
        <v>0</v>
      </c>
      <c r="Z537" s="31">
        <f t="shared" si="224"/>
        <v>0</v>
      </c>
      <c r="AA537" s="31">
        <f t="shared" si="224"/>
        <v>0</v>
      </c>
      <c r="AB537" s="31">
        <f t="shared" si="224"/>
        <v>0</v>
      </c>
      <c r="AC537" s="31">
        <f t="shared" si="224"/>
        <v>77638.13</v>
      </c>
      <c r="AD537" s="31">
        <f t="shared" si="224"/>
        <v>150000</v>
      </c>
      <c r="AE537" s="31">
        <f t="shared" si="224"/>
        <v>0</v>
      </c>
      <c r="AF537" s="72" t="s">
        <v>794</v>
      </c>
      <c r="AG537" s="72" t="s">
        <v>794</v>
      </c>
      <c r="AH537" s="91" t="s">
        <v>794</v>
      </c>
      <c r="AT537" s="20" t="e">
        <f>VLOOKUP(C537,AW:AX,2,FALSE)</f>
        <v>#N/A</v>
      </c>
    </row>
    <row r="538" spans="1:46" ht="61.5" x14ac:dyDescent="0.85">
      <c r="A538" s="20">
        <v>1</v>
      </c>
      <c r="B538" s="66">
        <f>SUBTOTAL(103,$A$22:A538)</f>
        <v>457</v>
      </c>
      <c r="C538" s="24" t="s">
        <v>192</v>
      </c>
      <c r="D538" s="31">
        <f t="shared" ref="D538" si="225">E538+F538+G538+H538+I538+J538+L538+N538+P538+R538+T538+U538+V538+W538+X538+Y538+Z538+AA538+AB538+AC538+AD538+AE538</f>
        <v>5403513.4500000002</v>
      </c>
      <c r="E538" s="31">
        <v>0</v>
      </c>
      <c r="F538" s="31">
        <v>0</v>
      </c>
      <c r="G538" s="31">
        <v>0</v>
      </c>
      <c r="H538" s="31">
        <v>0</v>
      </c>
      <c r="I538" s="31">
        <v>0</v>
      </c>
      <c r="J538" s="31">
        <v>0</v>
      </c>
      <c r="K538" s="33">
        <v>0</v>
      </c>
      <c r="L538" s="31">
        <v>0</v>
      </c>
      <c r="M538" s="31">
        <v>960</v>
      </c>
      <c r="N538" s="31">
        <f>4675862.07+500013.25</f>
        <v>5175875.32</v>
      </c>
      <c r="O538" s="31">
        <v>0</v>
      </c>
      <c r="P538" s="31">
        <v>0</v>
      </c>
      <c r="Q538" s="31">
        <v>0</v>
      </c>
      <c r="R538" s="31">
        <v>0</v>
      </c>
      <c r="S538" s="31">
        <v>0</v>
      </c>
      <c r="T538" s="31">
        <v>0</v>
      </c>
      <c r="U538" s="31">
        <v>0</v>
      </c>
      <c r="V538" s="31">
        <v>0</v>
      </c>
      <c r="W538" s="31">
        <v>0</v>
      </c>
      <c r="X538" s="31">
        <v>0</v>
      </c>
      <c r="Y538" s="31">
        <v>0</v>
      </c>
      <c r="Z538" s="31">
        <v>0</v>
      </c>
      <c r="AA538" s="31">
        <v>0</v>
      </c>
      <c r="AB538" s="31">
        <v>0</v>
      </c>
      <c r="AC538" s="31">
        <f>ROUND(N538*1.5%,2)</f>
        <v>77638.13</v>
      </c>
      <c r="AD538" s="31">
        <v>150000</v>
      </c>
      <c r="AE538" s="31">
        <v>0</v>
      </c>
      <c r="AF538" s="34">
        <v>2020</v>
      </c>
      <c r="AG538" s="34">
        <v>2020</v>
      </c>
      <c r="AH538" s="35">
        <v>2020</v>
      </c>
      <c r="AT538" s="20" t="e">
        <f>VLOOKUP(C538,AW:AX,2,FALSE)</f>
        <v>#N/A</v>
      </c>
    </row>
    <row r="539" spans="1:46" ht="61.5" x14ac:dyDescent="0.85">
      <c r="B539" s="24" t="s">
        <v>903</v>
      </c>
      <c r="C539" s="24"/>
      <c r="D539" s="31">
        <f>D540+D541</f>
        <v>8957085.8399999999</v>
      </c>
      <c r="E539" s="31">
        <f t="shared" ref="E539:AE539" si="226">E540+E541</f>
        <v>0</v>
      </c>
      <c r="F539" s="31">
        <f t="shared" si="226"/>
        <v>0</v>
      </c>
      <c r="G539" s="31">
        <f t="shared" si="226"/>
        <v>0</v>
      </c>
      <c r="H539" s="31">
        <f t="shared" si="226"/>
        <v>0</v>
      </c>
      <c r="I539" s="31">
        <f t="shared" si="226"/>
        <v>0</v>
      </c>
      <c r="J539" s="31">
        <f t="shared" si="226"/>
        <v>0</v>
      </c>
      <c r="K539" s="33">
        <f t="shared" si="226"/>
        <v>0</v>
      </c>
      <c r="L539" s="31">
        <f t="shared" si="226"/>
        <v>0</v>
      </c>
      <c r="M539" s="31">
        <f t="shared" si="226"/>
        <v>747.12</v>
      </c>
      <c r="N539" s="31">
        <f t="shared" si="226"/>
        <v>3123429.91</v>
      </c>
      <c r="O539" s="31">
        <f t="shared" si="226"/>
        <v>0</v>
      </c>
      <c r="P539" s="31">
        <f t="shared" si="226"/>
        <v>0</v>
      </c>
      <c r="Q539" s="31">
        <f t="shared" si="226"/>
        <v>2869</v>
      </c>
      <c r="R539" s="31">
        <f t="shared" si="226"/>
        <v>5701706.5100000007</v>
      </c>
      <c r="S539" s="31">
        <f t="shared" si="226"/>
        <v>0</v>
      </c>
      <c r="T539" s="31">
        <f t="shared" si="226"/>
        <v>0</v>
      </c>
      <c r="U539" s="31">
        <f t="shared" si="226"/>
        <v>0</v>
      </c>
      <c r="V539" s="31">
        <f t="shared" si="226"/>
        <v>0</v>
      </c>
      <c r="W539" s="31">
        <f t="shared" si="226"/>
        <v>0</v>
      </c>
      <c r="X539" s="31">
        <f t="shared" si="226"/>
        <v>0</v>
      </c>
      <c r="Y539" s="31">
        <f t="shared" si="226"/>
        <v>0</v>
      </c>
      <c r="Z539" s="31">
        <f t="shared" si="226"/>
        <v>0</v>
      </c>
      <c r="AA539" s="31">
        <f t="shared" si="226"/>
        <v>0</v>
      </c>
      <c r="AB539" s="31">
        <f t="shared" si="226"/>
        <v>0</v>
      </c>
      <c r="AC539" s="31">
        <f t="shared" si="226"/>
        <v>131949.41999999998</v>
      </c>
      <c r="AD539" s="31">
        <f t="shared" si="226"/>
        <v>0</v>
      </c>
      <c r="AE539" s="31">
        <f t="shared" si="226"/>
        <v>0</v>
      </c>
      <c r="AF539" s="72" t="s">
        <v>794</v>
      </c>
      <c r="AG539" s="72" t="s">
        <v>794</v>
      </c>
      <c r="AH539" s="91" t="s">
        <v>794</v>
      </c>
      <c r="AT539" s="20" t="e">
        <f>VLOOKUP(C539,AW:AX,2,FALSE)</f>
        <v>#N/A</v>
      </c>
    </row>
    <row r="540" spans="1:46" ht="61.5" x14ac:dyDescent="0.85">
      <c r="A540" s="20">
        <v>1</v>
      </c>
      <c r="B540" s="66">
        <f>SUBTOTAL(103,$A$22:A540)</f>
        <v>458</v>
      </c>
      <c r="C540" s="24" t="s">
        <v>191</v>
      </c>
      <c r="D540" s="31">
        <f t="shared" ref="D540:D541" si="227">E540+F540+G540+H540+I540+J540+L540+N540+P540+R540+T540+U540+V540+W540+X540+Y540+Z540+AA540+AB540+AC540+AD540+AE540</f>
        <v>3170281.3600000003</v>
      </c>
      <c r="E540" s="31">
        <v>0</v>
      </c>
      <c r="F540" s="31">
        <v>0</v>
      </c>
      <c r="G540" s="31">
        <v>0</v>
      </c>
      <c r="H540" s="31">
        <v>0</v>
      </c>
      <c r="I540" s="31">
        <v>0</v>
      </c>
      <c r="J540" s="31">
        <v>0</v>
      </c>
      <c r="K540" s="33">
        <v>0</v>
      </c>
      <c r="L540" s="31">
        <v>0</v>
      </c>
      <c r="M540" s="31">
        <v>747.12</v>
      </c>
      <c r="N540" s="31">
        <f>2975646.66+147783.25</f>
        <v>3123429.91</v>
      </c>
      <c r="O540" s="31">
        <v>0</v>
      </c>
      <c r="P540" s="31">
        <v>0</v>
      </c>
      <c r="Q540" s="31">
        <v>0</v>
      </c>
      <c r="R540" s="31">
        <v>0</v>
      </c>
      <c r="S540" s="31">
        <v>0</v>
      </c>
      <c r="T540" s="31">
        <v>0</v>
      </c>
      <c r="U540" s="31">
        <v>0</v>
      </c>
      <c r="V540" s="31">
        <v>0</v>
      </c>
      <c r="W540" s="31">
        <v>0</v>
      </c>
      <c r="X540" s="31">
        <v>0</v>
      </c>
      <c r="Y540" s="31">
        <v>0</v>
      </c>
      <c r="Z540" s="31">
        <v>0</v>
      </c>
      <c r="AA540" s="31">
        <v>0</v>
      </c>
      <c r="AB540" s="31">
        <v>0</v>
      </c>
      <c r="AC540" s="31">
        <f>ROUND(N540*1.5%,2)</f>
        <v>46851.45</v>
      </c>
      <c r="AD540" s="31">
        <v>0</v>
      </c>
      <c r="AE540" s="31">
        <v>0</v>
      </c>
      <c r="AF540" s="34" t="s">
        <v>274</v>
      </c>
      <c r="AG540" s="34">
        <v>2020</v>
      </c>
      <c r="AH540" s="35">
        <v>2020</v>
      </c>
      <c r="AT540" s="20" t="e">
        <f>VLOOKUP(C540,AW:AX,2,FALSE)</f>
        <v>#N/A</v>
      </c>
    </row>
    <row r="541" spans="1:46" ht="61.5" x14ac:dyDescent="0.85">
      <c r="A541" s="20">
        <v>1</v>
      </c>
      <c r="B541" s="66">
        <f>SUBTOTAL(103,$A$22:A541)</f>
        <v>459</v>
      </c>
      <c r="C541" s="24" t="s">
        <v>1644</v>
      </c>
      <c r="D541" s="31">
        <f t="shared" si="227"/>
        <v>5786804.4800000004</v>
      </c>
      <c r="E541" s="31">
        <v>0</v>
      </c>
      <c r="F541" s="31">
        <v>0</v>
      </c>
      <c r="G541" s="31">
        <v>0</v>
      </c>
      <c r="H541" s="31">
        <v>0</v>
      </c>
      <c r="I541" s="31">
        <v>0</v>
      </c>
      <c r="J541" s="31">
        <v>0</v>
      </c>
      <c r="K541" s="33">
        <v>0</v>
      </c>
      <c r="L541" s="31">
        <v>0</v>
      </c>
      <c r="M541" s="31">
        <v>0</v>
      </c>
      <c r="N541" s="31">
        <v>0</v>
      </c>
      <c r="O541" s="31">
        <v>0</v>
      </c>
      <c r="P541" s="31">
        <v>0</v>
      </c>
      <c r="Q541" s="31">
        <v>2869</v>
      </c>
      <c r="R541" s="31">
        <f>5534366.03+167340.48</f>
        <v>5701706.5100000007</v>
      </c>
      <c r="S541" s="31">
        <v>0</v>
      </c>
      <c r="T541" s="31">
        <v>0</v>
      </c>
      <c r="U541" s="31">
        <v>0</v>
      </c>
      <c r="V541" s="31">
        <v>0</v>
      </c>
      <c r="W541" s="31">
        <v>0</v>
      </c>
      <c r="X541" s="31">
        <v>0</v>
      </c>
      <c r="Y541" s="31">
        <v>0</v>
      </c>
      <c r="Z541" s="31">
        <v>0</v>
      </c>
      <c r="AA541" s="31">
        <v>0</v>
      </c>
      <c r="AB541" s="31">
        <v>0</v>
      </c>
      <c r="AC541" s="31">
        <f>ROUND(R541*1.4925%,2)</f>
        <v>85097.97</v>
      </c>
      <c r="AD541" s="31">
        <v>0</v>
      </c>
      <c r="AE541" s="31">
        <v>0</v>
      </c>
      <c r="AF541" s="34" t="s">
        <v>274</v>
      </c>
      <c r="AG541" s="34">
        <v>2020</v>
      </c>
      <c r="AH541" s="35">
        <v>2020</v>
      </c>
    </row>
    <row r="542" spans="1:46" ht="61.5" x14ac:dyDescent="0.85">
      <c r="B542" s="24" t="s">
        <v>904</v>
      </c>
      <c r="C542" s="24"/>
      <c r="D542" s="31">
        <f t="shared" ref="D542:AE542" si="228">D543</f>
        <v>2733218.92</v>
      </c>
      <c r="E542" s="31">
        <f t="shared" si="228"/>
        <v>0</v>
      </c>
      <c r="F542" s="31">
        <f t="shared" si="228"/>
        <v>0</v>
      </c>
      <c r="G542" s="31">
        <f t="shared" si="228"/>
        <v>0</v>
      </c>
      <c r="H542" s="31">
        <f t="shared" si="228"/>
        <v>0</v>
      </c>
      <c r="I542" s="31">
        <f t="shared" si="228"/>
        <v>0</v>
      </c>
      <c r="J542" s="31">
        <f t="shared" si="228"/>
        <v>0</v>
      </c>
      <c r="K542" s="33">
        <f t="shared" si="228"/>
        <v>0</v>
      </c>
      <c r="L542" s="31">
        <f t="shared" si="228"/>
        <v>0</v>
      </c>
      <c r="M542" s="31">
        <f t="shared" si="228"/>
        <v>439</v>
      </c>
      <c r="N542" s="31">
        <f t="shared" si="228"/>
        <v>2574599.92</v>
      </c>
      <c r="O542" s="31">
        <f t="shared" si="228"/>
        <v>0</v>
      </c>
      <c r="P542" s="31">
        <f t="shared" si="228"/>
        <v>0</v>
      </c>
      <c r="Q542" s="31">
        <f t="shared" si="228"/>
        <v>0</v>
      </c>
      <c r="R542" s="31">
        <f t="shared" si="228"/>
        <v>0</v>
      </c>
      <c r="S542" s="31">
        <f t="shared" si="228"/>
        <v>0</v>
      </c>
      <c r="T542" s="31">
        <f t="shared" si="228"/>
        <v>0</v>
      </c>
      <c r="U542" s="31">
        <f t="shared" si="228"/>
        <v>0</v>
      </c>
      <c r="V542" s="31">
        <f t="shared" si="228"/>
        <v>0</v>
      </c>
      <c r="W542" s="31">
        <f t="shared" si="228"/>
        <v>0</v>
      </c>
      <c r="X542" s="31">
        <f t="shared" si="228"/>
        <v>0</v>
      </c>
      <c r="Y542" s="31">
        <f t="shared" si="228"/>
        <v>0</v>
      </c>
      <c r="Z542" s="31">
        <f t="shared" si="228"/>
        <v>0</v>
      </c>
      <c r="AA542" s="31">
        <f t="shared" si="228"/>
        <v>0</v>
      </c>
      <c r="AB542" s="31">
        <f t="shared" si="228"/>
        <v>0</v>
      </c>
      <c r="AC542" s="31">
        <f t="shared" si="228"/>
        <v>38619</v>
      </c>
      <c r="AD542" s="31">
        <f t="shared" si="228"/>
        <v>120000</v>
      </c>
      <c r="AE542" s="31">
        <f t="shared" si="228"/>
        <v>0</v>
      </c>
      <c r="AF542" s="72" t="s">
        <v>794</v>
      </c>
      <c r="AG542" s="72" t="s">
        <v>794</v>
      </c>
      <c r="AH542" s="91" t="s">
        <v>794</v>
      </c>
      <c r="AT542" s="20" t="e">
        <f>VLOOKUP(C542,AW:AX,2,FALSE)</f>
        <v>#N/A</v>
      </c>
    </row>
    <row r="543" spans="1:46" ht="61.5" x14ac:dyDescent="0.85">
      <c r="A543" s="20">
        <v>1</v>
      </c>
      <c r="B543" s="66">
        <f>SUBTOTAL(103,$A$22:A543)</f>
        <v>460</v>
      </c>
      <c r="C543" s="24" t="s">
        <v>190</v>
      </c>
      <c r="D543" s="31">
        <f t="shared" ref="D543" si="229">E543+F543+G543+H543+I543+J543+L543+N543+P543+R543+T543+U543+V543+W543+X543+Y543+Z543+AA543+AB543+AC543+AD543+AE543</f>
        <v>2733218.92</v>
      </c>
      <c r="E543" s="31">
        <v>0</v>
      </c>
      <c r="F543" s="31">
        <v>0</v>
      </c>
      <c r="G543" s="31">
        <v>0</v>
      </c>
      <c r="H543" s="31">
        <v>0</v>
      </c>
      <c r="I543" s="31">
        <v>0</v>
      </c>
      <c r="J543" s="31">
        <v>0</v>
      </c>
      <c r="K543" s="33">
        <v>0</v>
      </c>
      <c r="L543" s="31">
        <v>0</v>
      </c>
      <c r="M543" s="31">
        <v>439</v>
      </c>
      <c r="N543" s="31">
        <f>2087586.21+460440.39+26573.32</f>
        <v>2574599.92</v>
      </c>
      <c r="O543" s="31">
        <v>0</v>
      </c>
      <c r="P543" s="31">
        <v>0</v>
      </c>
      <c r="Q543" s="31">
        <v>0</v>
      </c>
      <c r="R543" s="31">
        <v>0</v>
      </c>
      <c r="S543" s="31">
        <v>0</v>
      </c>
      <c r="T543" s="31">
        <v>0</v>
      </c>
      <c r="U543" s="31">
        <v>0</v>
      </c>
      <c r="V543" s="31">
        <v>0</v>
      </c>
      <c r="W543" s="31">
        <v>0</v>
      </c>
      <c r="X543" s="31">
        <v>0</v>
      </c>
      <c r="Y543" s="31">
        <v>0</v>
      </c>
      <c r="Z543" s="31">
        <v>0</v>
      </c>
      <c r="AA543" s="31">
        <v>0</v>
      </c>
      <c r="AB543" s="31">
        <v>0</v>
      </c>
      <c r="AC543" s="31">
        <f>ROUND(N543*1.5%,2)</f>
        <v>38619</v>
      </c>
      <c r="AD543" s="31">
        <v>120000</v>
      </c>
      <c r="AE543" s="31">
        <v>0</v>
      </c>
      <c r="AF543" s="34">
        <v>2020</v>
      </c>
      <c r="AG543" s="34">
        <v>2020</v>
      </c>
      <c r="AH543" s="35">
        <v>2020</v>
      </c>
      <c r="AT543" s="20" t="e">
        <f>VLOOKUP(C543,AW:AX,2,FALSE)</f>
        <v>#N/A</v>
      </c>
    </row>
    <row r="544" spans="1:46" ht="61.5" x14ac:dyDescent="0.85">
      <c r="B544" s="24" t="s">
        <v>905</v>
      </c>
      <c r="C544" s="117"/>
      <c r="D544" s="31">
        <f>SUM(D545:D552)</f>
        <v>18660147.93</v>
      </c>
      <c r="E544" s="31">
        <f t="shared" ref="E544:AE544" si="230">SUM(E545:E552)</f>
        <v>0</v>
      </c>
      <c r="F544" s="31">
        <f t="shared" si="230"/>
        <v>0</v>
      </c>
      <c r="G544" s="31">
        <f t="shared" si="230"/>
        <v>12355559.530000001</v>
      </c>
      <c r="H544" s="31">
        <f t="shared" si="230"/>
        <v>0</v>
      </c>
      <c r="I544" s="31">
        <f t="shared" si="230"/>
        <v>0</v>
      </c>
      <c r="J544" s="31">
        <f t="shared" si="230"/>
        <v>0</v>
      </c>
      <c r="K544" s="33">
        <f t="shared" si="230"/>
        <v>0</v>
      </c>
      <c r="L544" s="31">
        <f t="shared" si="230"/>
        <v>0</v>
      </c>
      <c r="M544" s="31">
        <f t="shared" si="230"/>
        <v>1163</v>
      </c>
      <c r="N544" s="31">
        <f t="shared" si="230"/>
        <v>5666305.4199999999</v>
      </c>
      <c r="O544" s="31">
        <f t="shared" si="230"/>
        <v>0</v>
      </c>
      <c r="P544" s="31">
        <f t="shared" si="230"/>
        <v>0</v>
      </c>
      <c r="Q544" s="31">
        <f t="shared" si="230"/>
        <v>0</v>
      </c>
      <c r="R544" s="31">
        <f t="shared" si="230"/>
        <v>0</v>
      </c>
      <c r="S544" s="31">
        <f t="shared" si="230"/>
        <v>0</v>
      </c>
      <c r="T544" s="31">
        <f t="shared" si="230"/>
        <v>0</v>
      </c>
      <c r="U544" s="31">
        <f t="shared" si="230"/>
        <v>0</v>
      </c>
      <c r="V544" s="31">
        <f t="shared" si="230"/>
        <v>0</v>
      </c>
      <c r="W544" s="31">
        <f t="shared" si="230"/>
        <v>0</v>
      </c>
      <c r="X544" s="31">
        <f t="shared" si="230"/>
        <v>0</v>
      </c>
      <c r="Y544" s="31">
        <f t="shared" si="230"/>
        <v>0</v>
      </c>
      <c r="Z544" s="31">
        <f t="shared" si="230"/>
        <v>0</v>
      </c>
      <c r="AA544" s="31">
        <f t="shared" si="230"/>
        <v>0</v>
      </c>
      <c r="AB544" s="31">
        <f t="shared" si="230"/>
        <v>0</v>
      </c>
      <c r="AC544" s="31">
        <f t="shared" si="230"/>
        <v>270327.98</v>
      </c>
      <c r="AD544" s="31">
        <f t="shared" si="230"/>
        <v>367955</v>
      </c>
      <c r="AE544" s="31">
        <f t="shared" si="230"/>
        <v>0</v>
      </c>
      <c r="AF544" s="72" t="s">
        <v>794</v>
      </c>
      <c r="AG544" s="72" t="s">
        <v>794</v>
      </c>
      <c r="AH544" s="91" t="s">
        <v>794</v>
      </c>
      <c r="AT544" s="20" t="e">
        <f>VLOOKUP(C544,AW:AX,2,FALSE)</f>
        <v>#N/A</v>
      </c>
    </row>
    <row r="545" spans="1:46" ht="61.5" x14ac:dyDescent="0.85">
      <c r="A545" s="20">
        <v>1</v>
      </c>
      <c r="B545" s="66">
        <f>SUBTOTAL(103,$A$22:A545)</f>
        <v>461</v>
      </c>
      <c r="C545" s="24" t="s">
        <v>221</v>
      </c>
      <c r="D545" s="31">
        <f t="shared" ref="D545:D552" si="231">E545+F545+G545+H545+I545+J545+L545+N545+P545+R545+T545+U545+V545+W545+X545+Y545+Z545+AA545+AB545+AC545+AD545+AE545</f>
        <v>5918262.9900000002</v>
      </c>
      <c r="E545" s="31">
        <v>0</v>
      </c>
      <c r="F545" s="31">
        <v>0</v>
      </c>
      <c r="G545" s="31">
        <v>0</v>
      </c>
      <c r="H545" s="31">
        <v>0</v>
      </c>
      <c r="I545" s="31">
        <v>0</v>
      </c>
      <c r="J545" s="31">
        <v>0</v>
      </c>
      <c r="K545" s="33">
        <v>0</v>
      </c>
      <c r="L545" s="31">
        <v>0</v>
      </c>
      <c r="M545" s="31">
        <v>1163</v>
      </c>
      <c r="N545" s="31">
        <v>5666305.4199999999</v>
      </c>
      <c r="O545" s="31">
        <v>0</v>
      </c>
      <c r="P545" s="31">
        <v>0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0</v>
      </c>
      <c r="W545" s="31">
        <v>0</v>
      </c>
      <c r="X545" s="31">
        <v>0</v>
      </c>
      <c r="Y545" s="31">
        <v>0</v>
      </c>
      <c r="Z545" s="31">
        <v>0</v>
      </c>
      <c r="AA545" s="31">
        <v>0</v>
      </c>
      <c r="AB545" s="31">
        <v>0</v>
      </c>
      <c r="AC545" s="31">
        <f>ROUND(N545*1.5%,2)</f>
        <v>84994.58</v>
      </c>
      <c r="AD545" s="31">
        <f>156962.99+10000</f>
        <v>166962.99</v>
      </c>
      <c r="AE545" s="31">
        <v>0</v>
      </c>
      <c r="AF545" s="34">
        <v>2020</v>
      </c>
      <c r="AG545" s="34">
        <v>2020</v>
      </c>
      <c r="AH545" s="35">
        <v>2020</v>
      </c>
      <c r="AT545" s="20" t="e">
        <f>VLOOKUP(C545,AW:AX,2,FALSE)</f>
        <v>#N/A</v>
      </c>
    </row>
    <row r="546" spans="1:46" ht="61.5" x14ac:dyDescent="0.85">
      <c r="A546" s="20">
        <v>1</v>
      </c>
      <c r="B546" s="66">
        <f>SUBTOTAL(103,$A$22:A546)</f>
        <v>462</v>
      </c>
      <c r="C546" s="24" t="s">
        <v>222</v>
      </c>
      <c r="D546" s="31">
        <f t="shared" si="231"/>
        <v>706896.33000000007</v>
      </c>
      <c r="E546" s="31">
        <v>0</v>
      </c>
      <c r="F546" s="31">
        <v>0</v>
      </c>
      <c r="G546" s="31">
        <f>378568.09+265628.28</f>
        <v>644196.37000000011</v>
      </c>
      <c r="H546" s="31">
        <v>0</v>
      </c>
      <c r="I546" s="31">
        <v>0</v>
      </c>
      <c r="J546" s="31">
        <v>0</v>
      </c>
      <c r="K546" s="33">
        <v>0</v>
      </c>
      <c r="L546" s="31">
        <v>0</v>
      </c>
      <c r="M546" s="31">
        <v>0</v>
      </c>
      <c r="N546" s="31">
        <v>0</v>
      </c>
      <c r="O546" s="31">
        <v>0</v>
      </c>
      <c r="P546" s="31">
        <v>0</v>
      </c>
      <c r="Q546" s="31">
        <v>0</v>
      </c>
      <c r="R546" s="31">
        <v>0</v>
      </c>
      <c r="S546" s="31">
        <v>0</v>
      </c>
      <c r="T546" s="31">
        <v>0</v>
      </c>
      <c r="U546" s="31">
        <v>0</v>
      </c>
      <c r="V546" s="31">
        <v>0</v>
      </c>
      <c r="W546" s="31">
        <v>0</v>
      </c>
      <c r="X546" s="31">
        <v>0</v>
      </c>
      <c r="Y546" s="31">
        <v>0</v>
      </c>
      <c r="Z546" s="31">
        <v>0</v>
      </c>
      <c r="AA546" s="31">
        <v>0</v>
      </c>
      <c r="AB546" s="31">
        <v>0</v>
      </c>
      <c r="AC546" s="31">
        <f t="shared" ref="AC546:AC552" si="232">ROUND((E546+F546+G546+H546+I546+J546)*1.5%,2)</f>
        <v>9662.9500000000007</v>
      </c>
      <c r="AD546" s="31">
        <f>46664.6+6372.41</f>
        <v>53037.009999999995</v>
      </c>
      <c r="AE546" s="31">
        <v>0</v>
      </c>
      <c r="AF546" s="34">
        <v>2020</v>
      </c>
      <c r="AG546" s="34">
        <v>2020</v>
      </c>
      <c r="AH546" s="35">
        <v>2020</v>
      </c>
      <c r="AT546" s="20" t="e">
        <f>VLOOKUP(C546,AW:AX,2,FALSE)</f>
        <v>#N/A</v>
      </c>
    </row>
    <row r="547" spans="1:46" ht="61.5" x14ac:dyDescent="0.85">
      <c r="A547" s="20">
        <v>1</v>
      </c>
      <c r="B547" s="66">
        <f>SUBTOTAL(103,$A$22:A547)</f>
        <v>463</v>
      </c>
      <c r="C547" s="24" t="s">
        <v>1344</v>
      </c>
      <c r="D547" s="31">
        <f t="shared" si="231"/>
        <v>3239861.98</v>
      </c>
      <c r="E547" s="31">
        <v>0</v>
      </c>
      <c r="F547" s="31">
        <v>0</v>
      </c>
      <c r="G547" s="31">
        <v>3191982.25</v>
      </c>
      <c r="H547" s="31">
        <v>0</v>
      </c>
      <c r="I547" s="31">
        <v>0</v>
      </c>
      <c r="J547" s="31">
        <v>0</v>
      </c>
      <c r="K547" s="33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v>0</v>
      </c>
      <c r="Y547" s="31">
        <v>0</v>
      </c>
      <c r="Z547" s="31">
        <v>0</v>
      </c>
      <c r="AA547" s="31">
        <v>0</v>
      </c>
      <c r="AB547" s="31">
        <v>0</v>
      </c>
      <c r="AC547" s="31">
        <f t="shared" si="232"/>
        <v>47879.73</v>
      </c>
      <c r="AD547" s="31">
        <v>0</v>
      </c>
      <c r="AE547" s="31">
        <v>0</v>
      </c>
      <c r="AF547" s="34" t="s">
        <v>274</v>
      </c>
      <c r="AG547" s="34">
        <v>2020</v>
      </c>
      <c r="AH547" s="35">
        <v>2020</v>
      </c>
    </row>
    <row r="548" spans="1:46" ht="61.5" x14ac:dyDescent="0.85">
      <c r="A548" s="20">
        <v>1</v>
      </c>
      <c r="B548" s="66">
        <f>SUBTOTAL(103,$A$22:A548)</f>
        <v>464</v>
      </c>
      <c r="C548" s="24" t="s">
        <v>1345</v>
      </c>
      <c r="D548" s="31">
        <f t="shared" si="231"/>
        <v>2323778.17</v>
      </c>
      <c r="E548" s="31">
        <v>0</v>
      </c>
      <c r="F548" s="31">
        <v>0</v>
      </c>
      <c r="G548" s="31">
        <v>2289436.62</v>
      </c>
      <c r="H548" s="31">
        <v>0</v>
      </c>
      <c r="I548" s="31">
        <v>0</v>
      </c>
      <c r="J548" s="31">
        <v>0</v>
      </c>
      <c r="K548" s="33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0</v>
      </c>
      <c r="R548" s="31">
        <v>0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v>0</v>
      </c>
      <c r="Y548" s="31">
        <v>0</v>
      </c>
      <c r="Z548" s="31">
        <v>0</v>
      </c>
      <c r="AA548" s="31">
        <v>0</v>
      </c>
      <c r="AB548" s="31">
        <v>0</v>
      </c>
      <c r="AC548" s="31">
        <f t="shared" si="232"/>
        <v>34341.550000000003</v>
      </c>
      <c r="AD548" s="31">
        <v>0</v>
      </c>
      <c r="AE548" s="31">
        <v>0</v>
      </c>
      <c r="AF548" s="34" t="s">
        <v>274</v>
      </c>
      <c r="AG548" s="34">
        <v>2020</v>
      </c>
      <c r="AH548" s="35">
        <v>2020</v>
      </c>
    </row>
    <row r="549" spans="1:46" ht="61.5" x14ac:dyDescent="0.85">
      <c r="A549" s="20">
        <v>1</v>
      </c>
      <c r="B549" s="66">
        <f>SUBTOTAL(103,$A$22:A549)</f>
        <v>465</v>
      </c>
      <c r="C549" s="24" t="s">
        <v>1346</v>
      </c>
      <c r="D549" s="31">
        <f t="shared" si="231"/>
        <v>2168498.14</v>
      </c>
      <c r="E549" s="31">
        <v>0</v>
      </c>
      <c r="F549" s="31">
        <v>0</v>
      </c>
      <c r="G549" s="31">
        <v>2136451.37</v>
      </c>
      <c r="H549" s="31">
        <v>0</v>
      </c>
      <c r="I549" s="31">
        <v>0</v>
      </c>
      <c r="J549" s="31">
        <v>0</v>
      </c>
      <c r="K549" s="33">
        <v>0</v>
      </c>
      <c r="L549" s="31">
        <v>0</v>
      </c>
      <c r="M549" s="31">
        <v>0</v>
      </c>
      <c r="N549" s="31">
        <v>0</v>
      </c>
      <c r="O549" s="31">
        <v>0</v>
      </c>
      <c r="P549" s="31">
        <v>0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v>0</v>
      </c>
      <c r="Y549" s="31">
        <v>0</v>
      </c>
      <c r="Z549" s="31">
        <v>0</v>
      </c>
      <c r="AA549" s="31">
        <v>0</v>
      </c>
      <c r="AB549" s="31">
        <v>0</v>
      </c>
      <c r="AC549" s="31">
        <f t="shared" si="232"/>
        <v>32046.77</v>
      </c>
      <c r="AD549" s="31">
        <v>0</v>
      </c>
      <c r="AE549" s="31">
        <v>0</v>
      </c>
      <c r="AF549" s="34" t="s">
        <v>274</v>
      </c>
      <c r="AG549" s="34">
        <v>2020</v>
      </c>
      <c r="AH549" s="35">
        <v>2020</v>
      </c>
    </row>
    <row r="550" spans="1:46" ht="61.5" x14ac:dyDescent="0.85">
      <c r="A550" s="20">
        <v>1</v>
      </c>
      <c r="B550" s="66">
        <f>SUBTOTAL(103,$A$22:A550)</f>
        <v>466</v>
      </c>
      <c r="C550" s="24" t="s">
        <v>1347</v>
      </c>
      <c r="D550" s="31">
        <f t="shared" si="231"/>
        <v>2920505.33</v>
      </c>
      <c r="E550" s="31">
        <v>0</v>
      </c>
      <c r="F550" s="31">
        <v>0</v>
      </c>
      <c r="G550" s="31">
        <v>2877345.15</v>
      </c>
      <c r="H550" s="31">
        <v>0</v>
      </c>
      <c r="I550" s="31">
        <v>0</v>
      </c>
      <c r="J550" s="31">
        <v>0</v>
      </c>
      <c r="K550" s="33">
        <v>0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0</v>
      </c>
      <c r="R550" s="31">
        <v>0</v>
      </c>
      <c r="S550" s="31">
        <v>0</v>
      </c>
      <c r="T550" s="31">
        <v>0</v>
      </c>
      <c r="U550" s="31">
        <v>0</v>
      </c>
      <c r="V550" s="31">
        <v>0</v>
      </c>
      <c r="W550" s="31">
        <v>0</v>
      </c>
      <c r="X550" s="31">
        <v>0</v>
      </c>
      <c r="Y550" s="31">
        <v>0</v>
      </c>
      <c r="Z550" s="31">
        <v>0</v>
      </c>
      <c r="AA550" s="31">
        <v>0</v>
      </c>
      <c r="AB550" s="31">
        <v>0</v>
      </c>
      <c r="AC550" s="31">
        <f t="shared" si="232"/>
        <v>43160.18</v>
      </c>
      <c r="AD550" s="31">
        <v>0</v>
      </c>
      <c r="AE550" s="31">
        <v>0</v>
      </c>
      <c r="AF550" s="34" t="s">
        <v>274</v>
      </c>
      <c r="AG550" s="34">
        <v>2020</v>
      </c>
      <c r="AH550" s="35">
        <v>2020</v>
      </c>
    </row>
    <row r="551" spans="1:46" ht="61.5" x14ac:dyDescent="0.85">
      <c r="A551" s="20">
        <v>1</v>
      </c>
      <c r="B551" s="66">
        <f>SUBTOTAL(103,$A$22:A551)</f>
        <v>467</v>
      </c>
      <c r="C551" s="24" t="s">
        <v>1658</v>
      </c>
      <c r="D551" s="31">
        <f t="shared" si="231"/>
        <v>655655</v>
      </c>
      <c r="E551" s="31">
        <v>0</v>
      </c>
      <c r="F551" s="31">
        <v>0</v>
      </c>
      <c r="G551" s="31">
        <f>580000-13837.44</f>
        <v>566162.56000000006</v>
      </c>
      <c r="H551" s="31">
        <v>0</v>
      </c>
      <c r="I551" s="31">
        <v>0</v>
      </c>
      <c r="J551" s="31">
        <v>0</v>
      </c>
      <c r="K551" s="33">
        <v>0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0</v>
      </c>
      <c r="W551" s="31">
        <v>0</v>
      </c>
      <c r="X551" s="31">
        <v>0</v>
      </c>
      <c r="Y551" s="31">
        <v>0</v>
      </c>
      <c r="Z551" s="31">
        <v>0</v>
      </c>
      <c r="AA551" s="31">
        <v>0</v>
      </c>
      <c r="AB551" s="31">
        <v>0</v>
      </c>
      <c r="AC551" s="31">
        <f t="shared" si="232"/>
        <v>8492.44</v>
      </c>
      <c r="AD551" s="31">
        <v>81000</v>
      </c>
      <c r="AE551" s="31">
        <v>0</v>
      </c>
      <c r="AF551" s="34">
        <v>2020</v>
      </c>
      <c r="AG551" s="34">
        <v>2020</v>
      </c>
      <c r="AH551" s="35">
        <v>2020</v>
      </c>
    </row>
    <row r="552" spans="1:46" ht="61.5" x14ac:dyDescent="0.85">
      <c r="A552" s="20">
        <v>1</v>
      </c>
      <c r="B552" s="66">
        <f>SUBTOTAL(103,$A$22:A552)</f>
        <v>468</v>
      </c>
      <c r="C552" s="24" t="s">
        <v>1659</v>
      </c>
      <c r="D552" s="31">
        <f t="shared" si="231"/>
        <v>726689.99</v>
      </c>
      <c r="E552" s="31">
        <v>0</v>
      </c>
      <c r="F552" s="31">
        <v>0</v>
      </c>
      <c r="G552" s="31">
        <v>649985.21</v>
      </c>
      <c r="H552" s="31">
        <v>0</v>
      </c>
      <c r="I552" s="31">
        <v>0</v>
      </c>
      <c r="J552" s="31">
        <v>0</v>
      </c>
      <c r="K552" s="33">
        <v>0</v>
      </c>
      <c r="L552" s="31">
        <v>0</v>
      </c>
      <c r="M552" s="31">
        <v>0</v>
      </c>
      <c r="N552" s="31">
        <v>0</v>
      </c>
      <c r="O552" s="31">
        <v>0</v>
      </c>
      <c r="P552" s="31">
        <v>0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0</v>
      </c>
      <c r="W552" s="31">
        <v>0</v>
      </c>
      <c r="X552" s="31">
        <v>0</v>
      </c>
      <c r="Y552" s="31">
        <v>0</v>
      </c>
      <c r="Z552" s="31">
        <v>0</v>
      </c>
      <c r="AA552" s="31">
        <v>0</v>
      </c>
      <c r="AB552" s="31">
        <v>0</v>
      </c>
      <c r="AC552" s="31">
        <f t="shared" si="232"/>
        <v>9749.7800000000007</v>
      </c>
      <c r="AD552" s="31">
        <f>70000-3045</f>
        <v>66955</v>
      </c>
      <c r="AE552" s="31">
        <v>0</v>
      </c>
      <c r="AF552" s="34">
        <v>2020</v>
      </c>
      <c r="AG552" s="34">
        <v>2020</v>
      </c>
      <c r="AH552" s="35">
        <v>2020</v>
      </c>
    </row>
    <row r="553" spans="1:46" ht="61.5" x14ac:dyDescent="0.85">
      <c r="B553" s="24" t="s">
        <v>906</v>
      </c>
      <c r="C553" s="24"/>
      <c r="D553" s="31">
        <f>SUM(D554:D558)</f>
        <v>7944432.1499999994</v>
      </c>
      <c r="E553" s="31">
        <f t="shared" ref="E553:AE553" si="233">SUM(E554:E558)</f>
        <v>0</v>
      </c>
      <c r="F553" s="31">
        <f>SUM(F554:F558)</f>
        <v>0</v>
      </c>
      <c r="G553" s="31">
        <f t="shared" si="233"/>
        <v>0</v>
      </c>
      <c r="H553" s="31">
        <f t="shared" si="233"/>
        <v>440278.05</v>
      </c>
      <c r="I553" s="31">
        <f t="shared" si="233"/>
        <v>0</v>
      </c>
      <c r="J553" s="31">
        <f t="shared" si="233"/>
        <v>0</v>
      </c>
      <c r="K553" s="33">
        <f t="shared" si="233"/>
        <v>0</v>
      </c>
      <c r="L553" s="31">
        <f t="shared" si="233"/>
        <v>0</v>
      </c>
      <c r="M553" s="31">
        <f t="shared" si="233"/>
        <v>910</v>
      </c>
      <c r="N553" s="31">
        <f t="shared" si="233"/>
        <v>4617733.99</v>
      </c>
      <c r="O553" s="31">
        <f t="shared" si="233"/>
        <v>0</v>
      </c>
      <c r="P553" s="31">
        <f t="shared" si="233"/>
        <v>0</v>
      </c>
      <c r="Q553" s="31">
        <f t="shared" si="233"/>
        <v>0</v>
      </c>
      <c r="R553" s="31">
        <f t="shared" si="233"/>
        <v>0</v>
      </c>
      <c r="S553" s="31">
        <f t="shared" si="233"/>
        <v>0</v>
      </c>
      <c r="T553" s="31">
        <f t="shared" si="233"/>
        <v>0</v>
      </c>
      <c r="U553" s="31">
        <f t="shared" si="233"/>
        <v>2227165.3199999998</v>
      </c>
      <c r="V553" s="31">
        <f t="shared" si="233"/>
        <v>0</v>
      </c>
      <c r="W553" s="31">
        <f t="shared" si="233"/>
        <v>0</v>
      </c>
      <c r="X553" s="31">
        <f t="shared" si="233"/>
        <v>0</v>
      </c>
      <c r="Y553" s="31">
        <f t="shared" si="233"/>
        <v>0</v>
      </c>
      <c r="Z553" s="31">
        <f t="shared" si="233"/>
        <v>0</v>
      </c>
      <c r="AA553" s="31">
        <f t="shared" si="233"/>
        <v>0</v>
      </c>
      <c r="AB553" s="31">
        <f t="shared" si="233"/>
        <v>0</v>
      </c>
      <c r="AC553" s="31">
        <f t="shared" si="233"/>
        <v>109254.79000000001</v>
      </c>
      <c r="AD553" s="31">
        <f t="shared" si="233"/>
        <v>550000</v>
      </c>
      <c r="AE553" s="31">
        <f t="shared" si="233"/>
        <v>0</v>
      </c>
      <c r="AF553" s="72" t="s">
        <v>794</v>
      </c>
      <c r="AG553" s="72" t="s">
        <v>794</v>
      </c>
      <c r="AH553" s="91" t="s">
        <v>794</v>
      </c>
      <c r="AT553" s="20" t="e">
        <f>VLOOKUP(C553,AW:AX,2,FALSE)</f>
        <v>#N/A</v>
      </c>
    </row>
    <row r="554" spans="1:46" ht="61.5" x14ac:dyDescent="0.85">
      <c r="A554" s="20">
        <v>1</v>
      </c>
      <c r="B554" s="66">
        <f>SUBTOTAL(103,$A$22:A554)</f>
        <v>469</v>
      </c>
      <c r="C554" s="24" t="s">
        <v>224</v>
      </c>
      <c r="D554" s="31">
        <f t="shared" ref="D554:D558" si="234">E554+F554+G554+H554+I554+J554+L554+N554+P554+R554+T554+U554+V554+W554+X554+Y554+Z554+AA554+AB554+AC554+AD554+AE554</f>
        <v>197289.34</v>
      </c>
      <c r="E554" s="31">
        <v>0</v>
      </c>
      <c r="F554" s="31">
        <v>0</v>
      </c>
      <c r="G554" s="31">
        <v>0</v>
      </c>
      <c r="H554" s="31">
        <v>135260.43</v>
      </c>
      <c r="I554" s="31">
        <v>0</v>
      </c>
      <c r="J554" s="31">
        <v>0</v>
      </c>
      <c r="K554" s="33">
        <v>0</v>
      </c>
      <c r="L554" s="31">
        <v>0</v>
      </c>
      <c r="M554" s="31">
        <v>0</v>
      </c>
      <c r="N554" s="31">
        <v>0</v>
      </c>
      <c r="O554" s="31">
        <v>0</v>
      </c>
      <c r="P554" s="31">
        <v>0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0</v>
      </c>
      <c r="W554" s="31">
        <v>0</v>
      </c>
      <c r="X554" s="31">
        <v>0</v>
      </c>
      <c r="Y554" s="31">
        <v>0</v>
      </c>
      <c r="Z554" s="31">
        <v>0</v>
      </c>
      <c r="AA554" s="31">
        <v>0</v>
      </c>
      <c r="AB554" s="31">
        <v>0</v>
      </c>
      <c r="AC554" s="31">
        <f>ROUND((E554+F554+G554+H554+I554+J554)*1.5%,2)</f>
        <v>2028.91</v>
      </c>
      <c r="AD554" s="31">
        <v>60000</v>
      </c>
      <c r="AE554" s="31">
        <v>0</v>
      </c>
      <c r="AF554" s="34">
        <v>2020</v>
      </c>
      <c r="AG554" s="34">
        <v>2020</v>
      </c>
      <c r="AH554" s="35">
        <v>2020</v>
      </c>
      <c r="AT554" s="20" t="e">
        <f>VLOOKUP(C554,AW:AX,2,FALSE)</f>
        <v>#N/A</v>
      </c>
    </row>
    <row r="555" spans="1:46" ht="61.5" x14ac:dyDescent="0.85">
      <c r="A555" s="20">
        <v>1</v>
      </c>
      <c r="B555" s="66">
        <f>SUBTOTAL(103,$A$22:A555)</f>
        <v>470</v>
      </c>
      <c r="C555" s="24" t="s">
        <v>225</v>
      </c>
      <c r="D555" s="31">
        <f t="shared" si="234"/>
        <v>3417000</v>
      </c>
      <c r="E555" s="31">
        <v>0</v>
      </c>
      <c r="F555" s="31">
        <v>0</v>
      </c>
      <c r="G555" s="31">
        <v>0</v>
      </c>
      <c r="H555" s="31">
        <v>0</v>
      </c>
      <c r="I555" s="31">
        <v>0</v>
      </c>
      <c r="J555" s="31">
        <v>0</v>
      </c>
      <c r="K555" s="33">
        <v>0</v>
      </c>
      <c r="L555" s="31">
        <v>0</v>
      </c>
      <c r="M555" s="31">
        <v>670</v>
      </c>
      <c r="N555" s="31">
        <v>3218719.21</v>
      </c>
      <c r="O555" s="31">
        <v>0</v>
      </c>
      <c r="P555" s="31">
        <v>0</v>
      </c>
      <c r="Q555" s="31">
        <v>0</v>
      </c>
      <c r="R555" s="31">
        <v>0</v>
      </c>
      <c r="S555" s="31">
        <v>0</v>
      </c>
      <c r="T555" s="31">
        <v>0</v>
      </c>
      <c r="U555" s="31">
        <v>0</v>
      </c>
      <c r="V555" s="31">
        <v>0</v>
      </c>
      <c r="W555" s="31">
        <v>0</v>
      </c>
      <c r="X555" s="31">
        <v>0</v>
      </c>
      <c r="Y555" s="31">
        <v>0</v>
      </c>
      <c r="Z555" s="31">
        <v>0</v>
      </c>
      <c r="AA555" s="31">
        <v>0</v>
      </c>
      <c r="AB555" s="31">
        <v>0</v>
      </c>
      <c r="AC555" s="31">
        <f>ROUND(N555*1.5%,2)</f>
        <v>48280.79</v>
      </c>
      <c r="AD555" s="31">
        <v>150000</v>
      </c>
      <c r="AE555" s="31">
        <v>0</v>
      </c>
      <c r="AF555" s="34">
        <v>2020</v>
      </c>
      <c r="AG555" s="34">
        <v>2020</v>
      </c>
      <c r="AH555" s="35">
        <v>2020</v>
      </c>
      <c r="AT555" s="20" t="e">
        <f>VLOOKUP(C555,AW:AX,2,FALSE)</f>
        <v>#N/A</v>
      </c>
    </row>
    <row r="556" spans="1:46" ht="61.5" x14ac:dyDescent="0.85">
      <c r="A556" s="20">
        <v>1</v>
      </c>
      <c r="B556" s="66">
        <f>SUBTOTAL(103,$A$22:A556)</f>
        <v>471</v>
      </c>
      <c r="C556" s="24" t="s">
        <v>230</v>
      </c>
      <c r="D556" s="31">
        <f t="shared" si="234"/>
        <v>2510572.7999999998</v>
      </c>
      <c r="E556" s="31">
        <v>0</v>
      </c>
      <c r="F556" s="31">
        <v>0</v>
      </c>
      <c r="G556" s="31">
        <v>0</v>
      </c>
      <c r="H556" s="31">
        <v>0</v>
      </c>
      <c r="I556" s="31">
        <v>0</v>
      </c>
      <c r="J556" s="31">
        <v>0</v>
      </c>
      <c r="K556" s="33">
        <v>0</v>
      </c>
      <c r="L556" s="31">
        <v>0</v>
      </c>
      <c r="M556" s="31">
        <v>0</v>
      </c>
      <c r="N556" s="31">
        <v>0</v>
      </c>
      <c r="O556" s="31">
        <v>0</v>
      </c>
      <c r="P556" s="31">
        <v>0</v>
      </c>
      <c r="Q556" s="31">
        <v>0</v>
      </c>
      <c r="R556" s="31">
        <v>0</v>
      </c>
      <c r="S556" s="31">
        <v>0</v>
      </c>
      <c r="T556" s="31">
        <v>0</v>
      </c>
      <c r="U556" s="31">
        <v>2227165.3199999998</v>
      </c>
      <c r="V556" s="31">
        <v>0</v>
      </c>
      <c r="W556" s="31">
        <v>0</v>
      </c>
      <c r="X556" s="31">
        <v>0</v>
      </c>
      <c r="Y556" s="31">
        <v>0</v>
      </c>
      <c r="Z556" s="31">
        <v>0</v>
      </c>
      <c r="AA556" s="31">
        <v>0</v>
      </c>
      <c r="AB556" s="31">
        <v>0</v>
      </c>
      <c r="AC556" s="31">
        <f>ROUND(U556*1.5%,2)</f>
        <v>33407.480000000003</v>
      </c>
      <c r="AD556" s="31">
        <v>250000</v>
      </c>
      <c r="AE556" s="31">
        <v>0</v>
      </c>
      <c r="AF556" s="34">
        <v>2020</v>
      </c>
      <c r="AG556" s="34">
        <v>2020</v>
      </c>
      <c r="AH556" s="35">
        <v>2020</v>
      </c>
      <c r="AT556" s="20" t="e">
        <f>VLOOKUP(C556,AW:AX,2,FALSE)</f>
        <v>#N/A</v>
      </c>
    </row>
    <row r="557" spans="1:46" ht="61.5" x14ac:dyDescent="0.85">
      <c r="A557" s="20">
        <v>1</v>
      </c>
      <c r="B557" s="66">
        <f>SUBTOTAL(103,$A$22:A557)</f>
        <v>472</v>
      </c>
      <c r="C557" s="24" t="s">
        <v>1160</v>
      </c>
      <c r="D557" s="31">
        <f t="shared" si="234"/>
        <v>1509999.9999999998</v>
      </c>
      <c r="E557" s="31">
        <v>0</v>
      </c>
      <c r="F557" s="31">
        <v>0</v>
      </c>
      <c r="G557" s="31">
        <v>0</v>
      </c>
      <c r="H557" s="31">
        <v>0</v>
      </c>
      <c r="I557" s="31">
        <v>0</v>
      </c>
      <c r="J557" s="31">
        <v>0</v>
      </c>
      <c r="K557" s="33">
        <v>0</v>
      </c>
      <c r="L557" s="31">
        <v>0</v>
      </c>
      <c r="M557" s="31">
        <v>240</v>
      </c>
      <c r="N557" s="31">
        <f>1146041.38+267181.17-14207.77</f>
        <v>1399014.7799999998</v>
      </c>
      <c r="O557" s="31">
        <v>0</v>
      </c>
      <c r="P557" s="31">
        <v>0</v>
      </c>
      <c r="Q557" s="31">
        <v>0</v>
      </c>
      <c r="R557" s="31">
        <v>0</v>
      </c>
      <c r="S557" s="31">
        <v>0</v>
      </c>
      <c r="T557" s="31">
        <v>0</v>
      </c>
      <c r="U557" s="31">
        <v>0</v>
      </c>
      <c r="V557" s="31">
        <v>0</v>
      </c>
      <c r="W557" s="31">
        <v>0</v>
      </c>
      <c r="X557" s="31">
        <v>0</v>
      </c>
      <c r="Y557" s="31">
        <v>0</v>
      </c>
      <c r="Z557" s="31">
        <v>0</v>
      </c>
      <c r="AA557" s="31">
        <v>0</v>
      </c>
      <c r="AB557" s="31">
        <v>0</v>
      </c>
      <c r="AC557" s="31">
        <f>ROUND(N557*1.5%,2)</f>
        <v>20985.22</v>
      </c>
      <c r="AD557" s="31">
        <v>90000</v>
      </c>
      <c r="AE557" s="31">
        <v>0</v>
      </c>
      <c r="AF557" s="34">
        <v>2020</v>
      </c>
      <c r="AG557" s="34">
        <v>2020</v>
      </c>
      <c r="AH557" s="35">
        <v>2020</v>
      </c>
      <c r="AT557" s="20" t="e">
        <f>VLOOKUP(C557,AW:AX,2,FALSE)</f>
        <v>#N/A</v>
      </c>
    </row>
    <row r="558" spans="1:46" ht="61.5" x14ac:dyDescent="0.85">
      <c r="A558" s="20">
        <v>1</v>
      </c>
      <c r="B558" s="66">
        <f>SUBTOTAL(103,$A$22:A558)</f>
        <v>473</v>
      </c>
      <c r="C558" s="24" t="s">
        <v>1348</v>
      </c>
      <c r="D558" s="31">
        <f t="shared" si="234"/>
        <v>309570.01</v>
      </c>
      <c r="E558" s="31">
        <v>0</v>
      </c>
      <c r="F558" s="31">
        <v>0</v>
      </c>
      <c r="G558" s="31">
        <v>0</v>
      </c>
      <c r="H558" s="31">
        <v>305017.62</v>
      </c>
      <c r="I558" s="31">
        <v>0</v>
      </c>
      <c r="J558" s="31">
        <v>0</v>
      </c>
      <c r="K558" s="33">
        <v>0</v>
      </c>
      <c r="L558" s="31">
        <v>0</v>
      </c>
      <c r="M558" s="31">
        <v>0</v>
      </c>
      <c r="N558" s="31">
        <v>0</v>
      </c>
      <c r="O558" s="31">
        <v>0</v>
      </c>
      <c r="P558" s="31">
        <v>0</v>
      </c>
      <c r="Q558" s="31">
        <v>0</v>
      </c>
      <c r="R558" s="31">
        <v>0</v>
      </c>
      <c r="S558" s="31">
        <v>0</v>
      </c>
      <c r="T558" s="31">
        <v>0</v>
      </c>
      <c r="U558" s="31">
        <v>0</v>
      </c>
      <c r="V558" s="31">
        <v>0</v>
      </c>
      <c r="W558" s="31">
        <v>0</v>
      </c>
      <c r="X558" s="31">
        <v>0</v>
      </c>
      <c r="Y558" s="31">
        <v>0</v>
      </c>
      <c r="Z558" s="31">
        <v>0</v>
      </c>
      <c r="AA558" s="31">
        <v>0</v>
      </c>
      <c r="AB558" s="31">
        <v>0</v>
      </c>
      <c r="AC558" s="31">
        <f>ROUND((E558+F558+G558+H558+I558+J558)*1.4925%,2)</f>
        <v>4552.3900000000003</v>
      </c>
      <c r="AD558" s="31">
        <v>0</v>
      </c>
      <c r="AE558" s="31">
        <v>0</v>
      </c>
      <c r="AF558" s="34" t="s">
        <v>274</v>
      </c>
      <c r="AG558" s="34">
        <v>2020</v>
      </c>
      <c r="AH558" s="35">
        <v>2020</v>
      </c>
    </row>
    <row r="559" spans="1:46" ht="61.5" x14ac:dyDescent="0.85">
      <c r="B559" s="24" t="s">
        <v>907</v>
      </c>
      <c r="C559" s="24"/>
      <c r="D559" s="31">
        <f>SUM(D560:D562)</f>
        <v>786720.65</v>
      </c>
      <c r="E559" s="31">
        <f t="shared" ref="E559:AE559" si="235">SUM(E560:E562)</f>
        <v>0</v>
      </c>
      <c r="F559" s="31">
        <f t="shared" si="235"/>
        <v>0</v>
      </c>
      <c r="G559" s="31">
        <f t="shared" si="235"/>
        <v>0</v>
      </c>
      <c r="H559" s="31">
        <f t="shared" si="235"/>
        <v>179165.08</v>
      </c>
      <c r="I559" s="31">
        <f t="shared" si="235"/>
        <v>0</v>
      </c>
      <c r="J559" s="31">
        <f t="shared" si="235"/>
        <v>0</v>
      </c>
      <c r="K559" s="33">
        <f t="shared" si="235"/>
        <v>0</v>
      </c>
      <c r="L559" s="31">
        <f t="shared" si="235"/>
        <v>0</v>
      </c>
      <c r="M559" s="31">
        <f t="shared" si="235"/>
        <v>0</v>
      </c>
      <c r="N559" s="31">
        <f t="shared" si="235"/>
        <v>0</v>
      </c>
      <c r="O559" s="31">
        <f t="shared" si="235"/>
        <v>125</v>
      </c>
      <c r="P559" s="31">
        <f t="shared" si="235"/>
        <v>306520.29000000004</v>
      </c>
      <c r="Q559" s="31">
        <f t="shared" si="235"/>
        <v>109</v>
      </c>
      <c r="R559" s="31">
        <f t="shared" si="235"/>
        <v>250000</v>
      </c>
      <c r="S559" s="31">
        <f t="shared" si="235"/>
        <v>0</v>
      </c>
      <c r="T559" s="31">
        <f t="shared" si="235"/>
        <v>0</v>
      </c>
      <c r="U559" s="31">
        <f t="shared" si="235"/>
        <v>0</v>
      </c>
      <c r="V559" s="31">
        <f t="shared" si="235"/>
        <v>0</v>
      </c>
      <c r="W559" s="31">
        <f t="shared" si="235"/>
        <v>0</v>
      </c>
      <c r="X559" s="31">
        <f t="shared" si="235"/>
        <v>0</v>
      </c>
      <c r="Y559" s="31">
        <f t="shared" si="235"/>
        <v>0</v>
      </c>
      <c r="Z559" s="31">
        <f t="shared" si="235"/>
        <v>0</v>
      </c>
      <c r="AA559" s="31">
        <f t="shared" si="235"/>
        <v>0</v>
      </c>
      <c r="AB559" s="31">
        <f t="shared" si="235"/>
        <v>0</v>
      </c>
      <c r="AC559" s="31">
        <f t="shared" si="235"/>
        <v>11035.279999999999</v>
      </c>
      <c r="AD559" s="31">
        <f t="shared" si="235"/>
        <v>40000</v>
      </c>
      <c r="AE559" s="31">
        <f t="shared" si="235"/>
        <v>0</v>
      </c>
      <c r="AF559" s="72" t="s">
        <v>794</v>
      </c>
      <c r="AG559" s="72" t="s">
        <v>794</v>
      </c>
      <c r="AH559" s="91" t="s">
        <v>794</v>
      </c>
      <c r="AT559" s="20" t="e">
        <f>VLOOKUP(C559,AW:AX,2,FALSE)</f>
        <v>#N/A</v>
      </c>
    </row>
    <row r="560" spans="1:46" ht="61.5" x14ac:dyDescent="0.85">
      <c r="A560" s="20">
        <v>1</v>
      </c>
      <c r="B560" s="66">
        <f>SUBTOTAL(103,$A$22:A560)</f>
        <v>474</v>
      </c>
      <c r="C560" s="24" t="s">
        <v>228</v>
      </c>
      <c r="D560" s="31">
        <f t="shared" ref="D560:D562" si="236">E560+F560+G560+H560+I560+J560+L560+N560+P560+R560+T560+U560+V560+W560+X560+Y560+Z560+AA560+AB560+AC560+AD560+AE560</f>
        <v>221852.56</v>
      </c>
      <c r="E560" s="31">
        <v>0</v>
      </c>
      <c r="F560" s="31">
        <v>0</v>
      </c>
      <c r="G560" s="31">
        <v>0</v>
      </c>
      <c r="H560" s="31">
        <v>179165.08</v>
      </c>
      <c r="I560" s="31">
        <v>0</v>
      </c>
      <c r="J560" s="31">
        <v>0</v>
      </c>
      <c r="K560" s="33">
        <v>0</v>
      </c>
      <c r="L560" s="31">
        <v>0</v>
      </c>
      <c r="M560" s="31">
        <v>0</v>
      </c>
      <c r="N560" s="31">
        <v>0</v>
      </c>
      <c r="O560" s="31">
        <v>0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  <c r="V560" s="31">
        <v>0</v>
      </c>
      <c r="W560" s="31">
        <v>0</v>
      </c>
      <c r="X560" s="31">
        <v>0</v>
      </c>
      <c r="Y560" s="31">
        <v>0</v>
      </c>
      <c r="Z560" s="31">
        <v>0</v>
      </c>
      <c r="AA560" s="31">
        <v>0</v>
      </c>
      <c r="AB560" s="31">
        <v>0</v>
      </c>
      <c r="AC560" s="31">
        <f>ROUND((E560+F560+G560+H560+I560+J560)*1.5%,2)</f>
        <v>2687.48</v>
      </c>
      <c r="AD560" s="31">
        <v>40000</v>
      </c>
      <c r="AE560" s="31">
        <v>0</v>
      </c>
      <c r="AF560" s="34">
        <v>2020</v>
      </c>
      <c r="AG560" s="34">
        <v>2020</v>
      </c>
      <c r="AH560" s="35">
        <v>2020</v>
      </c>
      <c r="AT560" s="20" t="e">
        <f>VLOOKUP(C560,AW:AX,2,FALSE)</f>
        <v>#N/A</v>
      </c>
    </row>
    <row r="561" spans="1:80" ht="61.5" x14ac:dyDescent="0.85">
      <c r="A561" s="20">
        <v>1</v>
      </c>
      <c r="B561" s="66">
        <f>SUBTOTAL(103,$A$22:A561)</f>
        <v>475</v>
      </c>
      <c r="C561" s="24" t="s">
        <v>1360</v>
      </c>
      <c r="D561" s="31">
        <f t="shared" si="236"/>
        <v>253750</v>
      </c>
      <c r="E561" s="31">
        <v>0</v>
      </c>
      <c r="F561" s="31">
        <v>0</v>
      </c>
      <c r="G561" s="31">
        <v>0</v>
      </c>
      <c r="H561" s="31">
        <v>0</v>
      </c>
      <c r="I561" s="31">
        <v>0</v>
      </c>
      <c r="J561" s="31">
        <v>0</v>
      </c>
      <c r="K561" s="33">
        <v>0</v>
      </c>
      <c r="L561" s="31">
        <v>0</v>
      </c>
      <c r="M561" s="31">
        <v>0</v>
      </c>
      <c r="N561" s="31">
        <v>0</v>
      </c>
      <c r="O561" s="31">
        <v>0</v>
      </c>
      <c r="P561" s="31">
        <v>0</v>
      </c>
      <c r="Q561" s="31">
        <v>109</v>
      </c>
      <c r="R561" s="31">
        <f>200000+50000</f>
        <v>250000</v>
      </c>
      <c r="S561" s="31">
        <v>0</v>
      </c>
      <c r="T561" s="31">
        <v>0</v>
      </c>
      <c r="U561" s="31">
        <v>0</v>
      </c>
      <c r="V561" s="31">
        <v>0</v>
      </c>
      <c r="W561" s="31">
        <v>0</v>
      </c>
      <c r="X561" s="31">
        <v>0</v>
      </c>
      <c r="Y561" s="31">
        <v>0</v>
      </c>
      <c r="Z561" s="31">
        <v>0</v>
      </c>
      <c r="AA561" s="31">
        <v>0</v>
      </c>
      <c r="AB561" s="31">
        <v>0</v>
      </c>
      <c r="AC561" s="31">
        <f>ROUND(R561*1.5%,2)</f>
        <v>3750</v>
      </c>
      <c r="AD561" s="31">
        <v>0</v>
      </c>
      <c r="AE561" s="31">
        <v>0</v>
      </c>
      <c r="AF561" s="34" t="s">
        <v>274</v>
      </c>
      <c r="AG561" s="34">
        <v>2020</v>
      </c>
      <c r="AH561" s="35">
        <v>2020</v>
      </c>
    </row>
    <row r="562" spans="1:80" ht="61.5" x14ac:dyDescent="0.85">
      <c r="A562" s="20">
        <v>1</v>
      </c>
      <c r="B562" s="66">
        <f>SUBTOTAL(103,$A$22:A562)</f>
        <v>476</v>
      </c>
      <c r="C562" s="24" t="s">
        <v>1361</v>
      </c>
      <c r="D562" s="31">
        <f t="shared" si="236"/>
        <v>311118.09000000003</v>
      </c>
      <c r="E562" s="31">
        <v>0</v>
      </c>
      <c r="F562" s="31">
        <v>0</v>
      </c>
      <c r="G562" s="31">
        <v>0</v>
      </c>
      <c r="H562" s="31">
        <v>0</v>
      </c>
      <c r="I562" s="31">
        <v>0</v>
      </c>
      <c r="J562" s="31">
        <v>0</v>
      </c>
      <c r="K562" s="33">
        <v>0</v>
      </c>
      <c r="L562" s="31">
        <v>0</v>
      </c>
      <c r="M562" s="31">
        <v>0</v>
      </c>
      <c r="N562" s="31">
        <v>0</v>
      </c>
      <c r="O562" s="31">
        <v>125</v>
      </c>
      <c r="P562" s="31">
        <f>256520.29+50000</f>
        <v>306520.29000000004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0</v>
      </c>
      <c r="W562" s="31">
        <v>0</v>
      </c>
      <c r="X562" s="31">
        <v>0</v>
      </c>
      <c r="Y562" s="31">
        <v>0</v>
      </c>
      <c r="Z562" s="31">
        <v>0</v>
      </c>
      <c r="AA562" s="31">
        <v>0</v>
      </c>
      <c r="AB562" s="31">
        <v>0</v>
      </c>
      <c r="AC562" s="31">
        <f>ROUND(P562*1.5%,2)</f>
        <v>4597.8</v>
      </c>
      <c r="AD562" s="31">
        <v>0</v>
      </c>
      <c r="AE562" s="31">
        <v>0</v>
      </c>
      <c r="AF562" s="34" t="s">
        <v>274</v>
      </c>
      <c r="AG562" s="34">
        <v>2020</v>
      </c>
      <c r="AH562" s="35">
        <v>2020</v>
      </c>
    </row>
    <row r="563" spans="1:80" ht="61.5" x14ac:dyDescent="0.85">
      <c r="B563" s="24" t="s">
        <v>908</v>
      </c>
      <c r="C563" s="24"/>
      <c r="D563" s="31">
        <f t="shared" ref="D563:AE563" si="237">D564</f>
        <v>1568000</v>
      </c>
      <c r="E563" s="31">
        <f t="shared" si="237"/>
        <v>0</v>
      </c>
      <c r="F563" s="31">
        <f t="shared" si="237"/>
        <v>0</v>
      </c>
      <c r="G563" s="31">
        <f t="shared" si="237"/>
        <v>0</v>
      </c>
      <c r="H563" s="31">
        <f t="shared" si="237"/>
        <v>0</v>
      </c>
      <c r="I563" s="31">
        <f t="shared" si="237"/>
        <v>0</v>
      </c>
      <c r="J563" s="31">
        <f t="shared" si="237"/>
        <v>0</v>
      </c>
      <c r="K563" s="33">
        <f t="shared" si="237"/>
        <v>0</v>
      </c>
      <c r="L563" s="31">
        <f t="shared" si="237"/>
        <v>0</v>
      </c>
      <c r="M563" s="31">
        <f t="shared" si="237"/>
        <v>280</v>
      </c>
      <c r="N563" s="31">
        <f t="shared" si="237"/>
        <v>1498833.48</v>
      </c>
      <c r="O563" s="31">
        <f t="shared" si="237"/>
        <v>0</v>
      </c>
      <c r="P563" s="31">
        <f t="shared" si="237"/>
        <v>0</v>
      </c>
      <c r="Q563" s="31">
        <f t="shared" si="237"/>
        <v>0</v>
      </c>
      <c r="R563" s="31">
        <f t="shared" si="237"/>
        <v>0</v>
      </c>
      <c r="S563" s="31">
        <f t="shared" si="237"/>
        <v>0</v>
      </c>
      <c r="T563" s="31">
        <f t="shared" si="237"/>
        <v>0</v>
      </c>
      <c r="U563" s="31">
        <f t="shared" si="237"/>
        <v>0</v>
      </c>
      <c r="V563" s="31">
        <f t="shared" si="237"/>
        <v>0</v>
      </c>
      <c r="W563" s="31">
        <f t="shared" si="237"/>
        <v>0</v>
      </c>
      <c r="X563" s="31">
        <f t="shared" si="237"/>
        <v>0</v>
      </c>
      <c r="Y563" s="31">
        <f t="shared" si="237"/>
        <v>0</v>
      </c>
      <c r="Z563" s="31">
        <f t="shared" si="237"/>
        <v>0</v>
      </c>
      <c r="AA563" s="31">
        <f t="shared" si="237"/>
        <v>0</v>
      </c>
      <c r="AB563" s="31">
        <f t="shared" si="237"/>
        <v>0</v>
      </c>
      <c r="AC563" s="31">
        <f t="shared" si="237"/>
        <v>22482.5</v>
      </c>
      <c r="AD563" s="31">
        <f t="shared" si="237"/>
        <v>46684.02</v>
      </c>
      <c r="AE563" s="31">
        <f t="shared" si="237"/>
        <v>0</v>
      </c>
      <c r="AF563" s="72" t="s">
        <v>794</v>
      </c>
      <c r="AG563" s="72" t="s">
        <v>794</v>
      </c>
      <c r="AH563" s="91" t="s">
        <v>794</v>
      </c>
      <c r="AT563" s="20" t="e">
        <f t="shared" ref="AT563:AT574" si="238">VLOOKUP(C563,AW:AX,2,FALSE)</f>
        <v>#N/A</v>
      </c>
      <c r="BZ563" s="31">
        <v>1428000</v>
      </c>
      <c r="CA563" s="31"/>
      <c r="CB563" s="31">
        <f>BZ563-D563</f>
        <v>-140000</v>
      </c>
    </row>
    <row r="564" spans="1:80" ht="61.5" x14ac:dyDescent="0.85">
      <c r="A564" s="20">
        <v>1</v>
      </c>
      <c r="B564" s="66">
        <f>SUBTOTAL(103,$A$22:A564)</f>
        <v>477</v>
      </c>
      <c r="C564" s="24" t="s">
        <v>227</v>
      </c>
      <c r="D564" s="31">
        <f t="shared" ref="D564" si="239">E564+F564+G564+H564+I564+J564+L564+N564+P564+R564+T564+U564+V564+W564+X564+Y564+Z564+AA564+AB564+AC564+AD564+AE564</f>
        <v>1568000</v>
      </c>
      <c r="E564" s="31">
        <v>0</v>
      </c>
      <c r="F564" s="31">
        <v>0</v>
      </c>
      <c r="G564" s="31">
        <v>0</v>
      </c>
      <c r="H564" s="31">
        <v>0</v>
      </c>
      <c r="I564" s="31">
        <v>0</v>
      </c>
      <c r="J564" s="31">
        <v>0</v>
      </c>
      <c r="K564" s="33">
        <v>0</v>
      </c>
      <c r="L564" s="31">
        <v>0</v>
      </c>
      <c r="M564" s="31">
        <v>280</v>
      </c>
      <c r="N564" s="31">
        <f>1288669.95+72232.49+137931.04</f>
        <v>1498833.48</v>
      </c>
      <c r="O564" s="31">
        <v>0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  <c r="V564" s="31">
        <v>0</v>
      </c>
      <c r="W564" s="31">
        <v>0</v>
      </c>
      <c r="X564" s="31">
        <v>0</v>
      </c>
      <c r="Y564" s="31">
        <v>0</v>
      </c>
      <c r="Z564" s="31">
        <v>0</v>
      </c>
      <c r="AA564" s="31">
        <v>0</v>
      </c>
      <c r="AB564" s="31">
        <v>0</v>
      </c>
      <c r="AC564" s="31">
        <f>ROUND(N564*1.5%,2)</f>
        <v>22482.5</v>
      </c>
      <c r="AD564" s="31">
        <v>46684.02</v>
      </c>
      <c r="AE564" s="31">
        <v>0</v>
      </c>
      <c r="AF564" s="34">
        <v>2020</v>
      </c>
      <c r="AG564" s="34">
        <v>2020</v>
      </c>
      <c r="AH564" s="35">
        <v>2020</v>
      </c>
      <c r="AT564" s="20" t="e">
        <f t="shared" si="238"/>
        <v>#N/A</v>
      </c>
    </row>
    <row r="565" spans="1:80" ht="61.5" x14ac:dyDescent="0.85">
      <c r="B565" s="24" t="s">
        <v>797</v>
      </c>
      <c r="C565" s="24"/>
      <c r="D565" s="31">
        <f t="shared" ref="D565:AE565" si="240">D566+D680+D695+D751+D772+D776+D790+D793+D798+D801+D803+D806+D808+D810+D817+D820+D822+D824+D826+D828+D830+D832+D834+D843+D845+D848+D850+D852+D857+D860+D862+D864+D866+D868+D870+D872+D874+D878+D880+D882+D888+D891+D893+D895+D897+D899+D901+D905+D908+D910+D912+D914+D918+D920+D923+D925</f>
        <v>799638471.25999999</v>
      </c>
      <c r="E565" s="31">
        <f t="shared" si="240"/>
        <v>817154.72000000009</v>
      </c>
      <c r="F565" s="31">
        <f t="shared" si="240"/>
        <v>1360064.57</v>
      </c>
      <c r="G565" s="31">
        <f t="shared" si="240"/>
        <v>6793528.0999999996</v>
      </c>
      <c r="H565" s="31">
        <f t="shared" si="240"/>
        <v>2863941.75</v>
      </c>
      <c r="I565" s="31">
        <f t="shared" si="240"/>
        <v>5671397.5200000005</v>
      </c>
      <c r="J565" s="31">
        <f t="shared" si="240"/>
        <v>0</v>
      </c>
      <c r="K565" s="33">
        <f t="shared" si="240"/>
        <v>32</v>
      </c>
      <c r="L565" s="31">
        <f t="shared" si="240"/>
        <v>67911883.330000013</v>
      </c>
      <c r="M565" s="31">
        <f t="shared" si="240"/>
        <v>135348.15888180298</v>
      </c>
      <c r="N565" s="31">
        <f t="shared" si="240"/>
        <v>632918039.26999974</v>
      </c>
      <c r="O565" s="31">
        <f t="shared" si="240"/>
        <v>0</v>
      </c>
      <c r="P565" s="31">
        <f t="shared" si="240"/>
        <v>0</v>
      </c>
      <c r="Q565" s="31">
        <f t="shared" si="240"/>
        <v>11287.03</v>
      </c>
      <c r="R565" s="31">
        <f t="shared" si="240"/>
        <v>32369073.509999998</v>
      </c>
      <c r="S565" s="31">
        <f t="shared" si="240"/>
        <v>0</v>
      </c>
      <c r="T565" s="31">
        <f t="shared" si="240"/>
        <v>0</v>
      </c>
      <c r="U565" s="31">
        <f t="shared" si="240"/>
        <v>0</v>
      </c>
      <c r="V565" s="31">
        <f t="shared" si="240"/>
        <v>0</v>
      </c>
      <c r="W565" s="31">
        <f t="shared" si="240"/>
        <v>0</v>
      </c>
      <c r="X565" s="31">
        <f t="shared" si="240"/>
        <v>0</v>
      </c>
      <c r="Y565" s="31">
        <f t="shared" si="240"/>
        <v>0</v>
      </c>
      <c r="Z565" s="31">
        <f t="shared" si="240"/>
        <v>0</v>
      </c>
      <c r="AA565" s="31">
        <f t="shared" si="240"/>
        <v>0</v>
      </c>
      <c r="AB565" s="31">
        <f t="shared" si="240"/>
        <v>0</v>
      </c>
      <c r="AC565" s="31">
        <f t="shared" si="240"/>
        <v>10241898.009999998</v>
      </c>
      <c r="AD565" s="31">
        <f t="shared" si="240"/>
        <v>38451490.479999997</v>
      </c>
      <c r="AE565" s="31">
        <f t="shared" si="240"/>
        <v>240000</v>
      </c>
      <c r="AF565" s="72" t="s">
        <v>794</v>
      </c>
      <c r="AG565" s="72" t="s">
        <v>794</v>
      </c>
      <c r="AH565" s="91" t="s">
        <v>794</v>
      </c>
      <c r="AT565" s="20" t="e">
        <f t="shared" si="238"/>
        <v>#N/A</v>
      </c>
    </row>
    <row r="566" spans="1:80" ht="61.5" x14ac:dyDescent="0.85">
      <c r="B566" s="24" t="s">
        <v>1159</v>
      </c>
      <c r="C566" s="117"/>
      <c r="D566" s="31">
        <f t="shared" ref="D566:AE566" si="241">SUM(D567:D679)</f>
        <v>225509821.20999989</v>
      </c>
      <c r="E566" s="31">
        <f t="shared" si="241"/>
        <v>0</v>
      </c>
      <c r="F566" s="31">
        <f t="shared" si="241"/>
        <v>0</v>
      </c>
      <c r="G566" s="31">
        <f t="shared" si="241"/>
        <v>0</v>
      </c>
      <c r="H566" s="31">
        <f t="shared" si="241"/>
        <v>0</v>
      </c>
      <c r="I566" s="31">
        <f t="shared" si="241"/>
        <v>0</v>
      </c>
      <c r="J566" s="31">
        <f t="shared" si="241"/>
        <v>0</v>
      </c>
      <c r="K566" s="33">
        <f t="shared" si="241"/>
        <v>14</v>
      </c>
      <c r="L566" s="31">
        <f t="shared" si="241"/>
        <v>29500739.760000005</v>
      </c>
      <c r="M566" s="31">
        <f t="shared" si="241"/>
        <v>37843.279999999999</v>
      </c>
      <c r="N566" s="31">
        <f t="shared" si="241"/>
        <v>173774968.62</v>
      </c>
      <c r="O566" s="31">
        <f t="shared" si="241"/>
        <v>0</v>
      </c>
      <c r="P566" s="31">
        <f t="shared" si="241"/>
        <v>0</v>
      </c>
      <c r="Q566" s="31">
        <f t="shared" si="241"/>
        <v>1988.23</v>
      </c>
      <c r="R566" s="31">
        <f t="shared" si="241"/>
        <v>8133988</v>
      </c>
      <c r="S566" s="31">
        <f t="shared" si="241"/>
        <v>0</v>
      </c>
      <c r="T566" s="31">
        <f t="shared" si="241"/>
        <v>0</v>
      </c>
      <c r="U566" s="31">
        <f t="shared" si="241"/>
        <v>0</v>
      </c>
      <c r="V566" s="31">
        <f t="shared" si="241"/>
        <v>0</v>
      </c>
      <c r="W566" s="31">
        <f t="shared" si="241"/>
        <v>0</v>
      </c>
      <c r="X566" s="31">
        <f t="shared" si="241"/>
        <v>0</v>
      </c>
      <c r="Y566" s="31">
        <f t="shared" si="241"/>
        <v>0</v>
      </c>
      <c r="Z566" s="31">
        <f t="shared" si="241"/>
        <v>0</v>
      </c>
      <c r="AA566" s="31">
        <f t="shared" si="241"/>
        <v>0</v>
      </c>
      <c r="AB566" s="31">
        <f t="shared" si="241"/>
        <v>0</v>
      </c>
      <c r="AC566" s="31">
        <f t="shared" si="241"/>
        <v>2728634.3500000015</v>
      </c>
      <c r="AD566" s="31">
        <f t="shared" si="241"/>
        <v>11371490.479999999</v>
      </c>
      <c r="AE566" s="31">
        <f t="shared" si="241"/>
        <v>0</v>
      </c>
      <c r="AF566" s="72" t="s">
        <v>794</v>
      </c>
      <c r="AG566" s="72" t="s">
        <v>794</v>
      </c>
      <c r="AH566" s="91" t="s">
        <v>794</v>
      </c>
      <c r="AT566" s="20" t="e">
        <f t="shared" si="238"/>
        <v>#N/A</v>
      </c>
    </row>
    <row r="567" spans="1:80" ht="61.5" x14ac:dyDescent="0.85">
      <c r="A567" s="20">
        <v>1</v>
      </c>
      <c r="B567" s="66">
        <f>SUBTOTAL(103,$A$567:A567)</f>
        <v>1</v>
      </c>
      <c r="C567" s="24" t="s">
        <v>548</v>
      </c>
      <c r="D567" s="31">
        <f t="shared" ref="D567:D679" si="242">E567+F567+G567+H567+I567+J567+L567+N567+P567+R567+T567+U567+V567+W567+X567+Y567+Z567+AA567+AB567+AC567+AD567+AE567</f>
        <v>4625631.57</v>
      </c>
      <c r="E567" s="31">
        <v>0</v>
      </c>
      <c r="F567" s="31">
        <v>0</v>
      </c>
      <c r="G567" s="31">
        <v>0</v>
      </c>
      <c r="H567" s="31">
        <v>0</v>
      </c>
      <c r="I567" s="31">
        <v>0</v>
      </c>
      <c r="J567" s="31">
        <v>0</v>
      </c>
      <c r="K567" s="33">
        <v>0</v>
      </c>
      <c r="L567" s="31">
        <v>0</v>
      </c>
      <c r="M567" s="31">
        <v>940</v>
      </c>
      <c r="N567" s="31">
        <v>4458750.32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v>0</v>
      </c>
      <c r="Y567" s="31">
        <v>0</v>
      </c>
      <c r="Z567" s="31">
        <v>0</v>
      </c>
      <c r="AA567" s="31">
        <v>0</v>
      </c>
      <c r="AB567" s="31">
        <v>0</v>
      </c>
      <c r="AC567" s="31">
        <f t="shared" ref="AC567:AC570" si="243">ROUND(N567*1.5%,2)</f>
        <v>66881.25</v>
      </c>
      <c r="AD567" s="31">
        <v>100000</v>
      </c>
      <c r="AE567" s="31">
        <v>0</v>
      </c>
      <c r="AF567" s="34">
        <v>2021</v>
      </c>
      <c r="AG567" s="34">
        <v>2021</v>
      </c>
      <c r="AH567" s="35">
        <v>2021</v>
      </c>
      <c r="AT567" s="20" t="e">
        <f t="shared" si="238"/>
        <v>#N/A</v>
      </c>
    </row>
    <row r="568" spans="1:80" ht="61.5" x14ac:dyDescent="0.85">
      <c r="A568" s="20">
        <v>1</v>
      </c>
      <c r="B568" s="66">
        <f>SUBTOTAL(103,$A$567:A568)</f>
        <v>2</v>
      </c>
      <c r="C568" s="24" t="s">
        <v>549</v>
      </c>
      <c r="D568" s="31">
        <f t="shared" si="242"/>
        <v>4549323.9899999993</v>
      </c>
      <c r="E568" s="31">
        <v>0</v>
      </c>
      <c r="F568" s="31">
        <v>0</v>
      </c>
      <c r="G568" s="31">
        <v>0</v>
      </c>
      <c r="H568" s="31">
        <v>0</v>
      </c>
      <c r="I568" s="31">
        <v>0</v>
      </c>
      <c r="J568" s="31">
        <v>0</v>
      </c>
      <c r="K568" s="33">
        <v>0</v>
      </c>
      <c r="L568" s="31">
        <v>0</v>
      </c>
      <c r="M568" s="31">
        <v>960</v>
      </c>
      <c r="N568" s="31">
        <v>4383570.43</v>
      </c>
      <c r="O568" s="31">
        <v>0</v>
      </c>
      <c r="P568" s="31">
        <v>0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v>0</v>
      </c>
      <c r="Y568" s="31">
        <v>0</v>
      </c>
      <c r="Z568" s="31">
        <v>0</v>
      </c>
      <c r="AA568" s="31">
        <v>0</v>
      </c>
      <c r="AB568" s="31">
        <v>0</v>
      </c>
      <c r="AC568" s="31">
        <f t="shared" si="243"/>
        <v>65753.56</v>
      </c>
      <c r="AD568" s="31">
        <v>100000</v>
      </c>
      <c r="AE568" s="31">
        <v>0</v>
      </c>
      <c r="AF568" s="34">
        <v>2021</v>
      </c>
      <c r="AG568" s="34">
        <v>2021</v>
      </c>
      <c r="AH568" s="35">
        <v>2021</v>
      </c>
      <c r="AT568" s="20" t="e">
        <f t="shared" si="238"/>
        <v>#N/A</v>
      </c>
    </row>
    <row r="569" spans="1:80" ht="61.5" x14ac:dyDescent="0.85">
      <c r="A569" s="20">
        <v>1</v>
      </c>
      <c r="B569" s="66">
        <f>SUBTOTAL(103,$A$567:A569)</f>
        <v>3</v>
      </c>
      <c r="C569" s="24" t="s">
        <v>550</v>
      </c>
      <c r="D569" s="31">
        <f t="shared" si="242"/>
        <v>4549323.9899999993</v>
      </c>
      <c r="E569" s="31">
        <v>0</v>
      </c>
      <c r="F569" s="31">
        <v>0</v>
      </c>
      <c r="G569" s="31">
        <v>0</v>
      </c>
      <c r="H569" s="31">
        <v>0</v>
      </c>
      <c r="I569" s="31">
        <v>0</v>
      </c>
      <c r="J569" s="31">
        <v>0</v>
      </c>
      <c r="K569" s="33">
        <v>0</v>
      </c>
      <c r="L569" s="31">
        <v>0</v>
      </c>
      <c r="M569" s="31">
        <v>960</v>
      </c>
      <c r="N569" s="31">
        <v>4383570.43</v>
      </c>
      <c r="O569" s="31">
        <v>0</v>
      </c>
      <c r="P569" s="31">
        <v>0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v>0</v>
      </c>
      <c r="Y569" s="31">
        <v>0</v>
      </c>
      <c r="Z569" s="31">
        <v>0</v>
      </c>
      <c r="AA569" s="31">
        <v>0</v>
      </c>
      <c r="AB569" s="31">
        <v>0</v>
      </c>
      <c r="AC569" s="31">
        <f t="shared" si="243"/>
        <v>65753.56</v>
      </c>
      <c r="AD569" s="31">
        <v>100000</v>
      </c>
      <c r="AE569" s="31">
        <v>0</v>
      </c>
      <c r="AF569" s="34">
        <v>2021</v>
      </c>
      <c r="AG569" s="34">
        <v>2021</v>
      </c>
      <c r="AH569" s="35">
        <v>2021</v>
      </c>
      <c r="AT569" s="20" t="e">
        <f t="shared" si="238"/>
        <v>#N/A</v>
      </c>
    </row>
    <row r="570" spans="1:80" ht="61.5" x14ac:dyDescent="0.85">
      <c r="A570" s="20">
        <v>1</v>
      </c>
      <c r="B570" s="66">
        <f>SUBTOTAL(103,$A$567:A570)</f>
        <v>4</v>
      </c>
      <c r="C570" s="24" t="s">
        <v>551</v>
      </c>
      <c r="D570" s="31">
        <f t="shared" si="242"/>
        <v>3263607.5799999996</v>
      </c>
      <c r="E570" s="31">
        <v>0</v>
      </c>
      <c r="F570" s="31">
        <v>0</v>
      </c>
      <c r="G570" s="31">
        <v>0</v>
      </c>
      <c r="H570" s="31">
        <v>0</v>
      </c>
      <c r="I570" s="31">
        <v>0</v>
      </c>
      <c r="J570" s="31">
        <v>0</v>
      </c>
      <c r="K570" s="33">
        <v>0</v>
      </c>
      <c r="L570" s="31">
        <v>0</v>
      </c>
      <c r="M570" s="31">
        <v>657.1</v>
      </c>
      <c r="N570" s="31">
        <v>3116854.76</v>
      </c>
      <c r="O570" s="31">
        <v>0</v>
      </c>
      <c r="P570" s="31">
        <v>0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v>0</v>
      </c>
      <c r="Y570" s="31">
        <v>0</v>
      </c>
      <c r="Z570" s="31">
        <v>0</v>
      </c>
      <c r="AA570" s="31">
        <v>0</v>
      </c>
      <c r="AB570" s="31">
        <v>0</v>
      </c>
      <c r="AC570" s="31">
        <f t="shared" si="243"/>
        <v>46752.82</v>
      </c>
      <c r="AD570" s="31">
        <v>100000</v>
      </c>
      <c r="AE570" s="31">
        <v>0</v>
      </c>
      <c r="AF570" s="34">
        <v>2021</v>
      </c>
      <c r="AG570" s="34">
        <v>2021</v>
      </c>
      <c r="AH570" s="35">
        <v>2021</v>
      </c>
      <c r="AT570" s="20" t="e">
        <f t="shared" si="238"/>
        <v>#N/A</v>
      </c>
    </row>
    <row r="571" spans="1:80" ht="61.5" x14ac:dyDescent="0.85">
      <c r="A571" s="20">
        <v>1</v>
      </c>
      <c r="B571" s="66">
        <f>SUBTOTAL(103,$A$567:A571)</f>
        <v>5</v>
      </c>
      <c r="C571" s="24" t="s">
        <v>552</v>
      </c>
      <c r="D571" s="31">
        <f t="shared" si="242"/>
        <v>2149444.66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3">
        <v>1</v>
      </c>
      <c r="L571" s="31">
        <v>2079444.66</v>
      </c>
      <c r="M571" s="31">
        <v>0</v>
      </c>
      <c r="N571" s="31">
        <v>0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v>0</v>
      </c>
      <c r="Y571" s="31">
        <v>0</v>
      </c>
      <c r="Z571" s="31">
        <v>0</v>
      </c>
      <c r="AA571" s="31">
        <v>0</v>
      </c>
      <c r="AB571" s="31">
        <v>0</v>
      </c>
      <c r="AC571" s="31">
        <v>0</v>
      </c>
      <c r="AD571" s="31">
        <v>70000</v>
      </c>
      <c r="AE571" s="31">
        <v>0</v>
      </c>
      <c r="AF571" s="34">
        <v>2021</v>
      </c>
      <c r="AG571" s="34">
        <v>2021</v>
      </c>
      <c r="AH571" s="35" t="s">
        <v>274</v>
      </c>
      <c r="AT571" s="20" t="e">
        <f t="shared" si="238"/>
        <v>#N/A</v>
      </c>
    </row>
    <row r="572" spans="1:80" ht="61.5" x14ac:dyDescent="0.85">
      <c r="A572" s="20">
        <v>1</v>
      </c>
      <c r="B572" s="66">
        <f>SUBTOTAL(103,$A$567:A572)</f>
        <v>6</v>
      </c>
      <c r="C572" s="24" t="s">
        <v>553</v>
      </c>
      <c r="D572" s="31">
        <f t="shared" si="242"/>
        <v>2149444.66</v>
      </c>
      <c r="E572" s="31">
        <v>0</v>
      </c>
      <c r="F572" s="31">
        <v>0</v>
      </c>
      <c r="G572" s="31">
        <v>0</v>
      </c>
      <c r="H572" s="31">
        <v>0</v>
      </c>
      <c r="I572" s="31">
        <v>0</v>
      </c>
      <c r="J572" s="31">
        <v>0</v>
      </c>
      <c r="K572" s="33">
        <v>1</v>
      </c>
      <c r="L572" s="31">
        <v>2079444.66</v>
      </c>
      <c r="M572" s="31">
        <v>0</v>
      </c>
      <c r="N572" s="31">
        <v>0</v>
      </c>
      <c r="O572" s="31">
        <v>0</v>
      </c>
      <c r="P572" s="31">
        <v>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0</v>
      </c>
      <c r="W572" s="31">
        <v>0</v>
      </c>
      <c r="X572" s="31">
        <v>0</v>
      </c>
      <c r="Y572" s="31">
        <v>0</v>
      </c>
      <c r="Z572" s="31">
        <v>0</v>
      </c>
      <c r="AA572" s="31">
        <v>0</v>
      </c>
      <c r="AB572" s="31">
        <v>0</v>
      </c>
      <c r="AC572" s="31">
        <v>0</v>
      </c>
      <c r="AD572" s="31">
        <v>70000</v>
      </c>
      <c r="AE572" s="31">
        <v>0</v>
      </c>
      <c r="AF572" s="34">
        <v>2021</v>
      </c>
      <c r="AG572" s="34">
        <v>2021</v>
      </c>
      <c r="AH572" s="35" t="s">
        <v>274</v>
      </c>
      <c r="AT572" s="20" t="e">
        <f t="shared" si="238"/>
        <v>#N/A</v>
      </c>
    </row>
    <row r="573" spans="1:80" ht="61.5" x14ac:dyDescent="0.85">
      <c r="A573" s="20">
        <v>1</v>
      </c>
      <c r="B573" s="66">
        <f>SUBTOTAL(103,$A$567:A573)</f>
        <v>7</v>
      </c>
      <c r="C573" s="24" t="s">
        <v>554</v>
      </c>
      <c r="D573" s="31">
        <f t="shared" si="242"/>
        <v>4642018.24</v>
      </c>
      <c r="E573" s="31">
        <v>0</v>
      </c>
      <c r="F573" s="31">
        <v>0</v>
      </c>
      <c r="G573" s="31">
        <v>0</v>
      </c>
      <c r="H573" s="31">
        <v>0</v>
      </c>
      <c r="I573" s="31">
        <v>0</v>
      </c>
      <c r="J573" s="31">
        <v>0</v>
      </c>
      <c r="K573" s="33">
        <v>0</v>
      </c>
      <c r="L573" s="31">
        <v>0</v>
      </c>
      <c r="M573" s="31">
        <v>980</v>
      </c>
      <c r="N573" s="31">
        <v>4474894.82</v>
      </c>
      <c r="O573" s="31">
        <v>0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v>0</v>
      </c>
      <c r="Y573" s="31">
        <v>0</v>
      </c>
      <c r="Z573" s="31">
        <v>0</v>
      </c>
      <c r="AA573" s="31">
        <v>0</v>
      </c>
      <c r="AB573" s="31">
        <v>0</v>
      </c>
      <c r="AC573" s="31">
        <f t="shared" ref="AC573:AC587" si="244">ROUND(N573*1.5%,2)</f>
        <v>67123.42</v>
      </c>
      <c r="AD573" s="31">
        <v>100000</v>
      </c>
      <c r="AE573" s="31">
        <v>0</v>
      </c>
      <c r="AF573" s="34">
        <v>2021</v>
      </c>
      <c r="AG573" s="34">
        <v>2021</v>
      </c>
      <c r="AH573" s="35">
        <v>2021</v>
      </c>
      <c r="AT573" s="20" t="e">
        <f t="shared" si="238"/>
        <v>#N/A</v>
      </c>
    </row>
    <row r="574" spans="1:80" ht="61.5" x14ac:dyDescent="0.85">
      <c r="A574" s="20">
        <v>1</v>
      </c>
      <c r="B574" s="66">
        <f>SUBTOTAL(103,$A$567:A574)</f>
        <v>8</v>
      </c>
      <c r="C574" s="24" t="s">
        <v>555</v>
      </c>
      <c r="D574" s="31">
        <f t="shared" si="242"/>
        <v>3518296.02</v>
      </c>
      <c r="E574" s="31">
        <v>0</v>
      </c>
      <c r="F574" s="31">
        <v>0</v>
      </c>
      <c r="G574" s="31">
        <v>0</v>
      </c>
      <c r="H574" s="31">
        <v>0</v>
      </c>
      <c r="I574" s="31">
        <v>0</v>
      </c>
      <c r="J574" s="31">
        <v>0</v>
      </c>
      <c r="K574" s="33">
        <v>0</v>
      </c>
      <c r="L574" s="31">
        <v>0</v>
      </c>
      <c r="M574" s="31">
        <v>710</v>
      </c>
      <c r="N574" s="31">
        <v>3367779.33</v>
      </c>
      <c r="O574" s="31">
        <v>0</v>
      </c>
      <c r="P574" s="31">
        <v>0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0</v>
      </c>
      <c r="W574" s="31">
        <v>0</v>
      </c>
      <c r="X574" s="31">
        <v>0</v>
      </c>
      <c r="Y574" s="31">
        <v>0</v>
      </c>
      <c r="Z574" s="31">
        <v>0</v>
      </c>
      <c r="AA574" s="31">
        <v>0</v>
      </c>
      <c r="AB574" s="31">
        <v>0</v>
      </c>
      <c r="AC574" s="31">
        <f t="shared" si="244"/>
        <v>50516.69</v>
      </c>
      <c r="AD574" s="31">
        <v>100000</v>
      </c>
      <c r="AE574" s="31">
        <v>0</v>
      </c>
      <c r="AF574" s="34">
        <v>2021</v>
      </c>
      <c r="AG574" s="34">
        <v>2021</v>
      </c>
      <c r="AH574" s="35">
        <v>2021</v>
      </c>
      <c r="AT574" s="20" t="e">
        <f t="shared" si="238"/>
        <v>#N/A</v>
      </c>
    </row>
    <row r="575" spans="1:80" ht="61.5" x14ac:dyDescent="0.85">
      <c r="A575" s="20">
        <v>1</v>
      </c>
      <c r="B575" s="66">
        <f>SUBTOTAL(103,$A$567:A575)</f>
        <v>9</v>
      </c>
      <c r="C575" s="24" t="s">
        <v>1453</v>
      </c>
      <c r="D575" s="31">
        <f t="shared" si="242"/>
        <v>13689818</v>
      </c>
      <c r="E575" s="31">
        <v>0</v>
      </c>
      <c r="F575" s="31">
        <v>0</v>
      </c>
      <c r="G575" s="31">
        <v>0</v>
      </c>
      <c r="H575" s="31">
        <v>0</v>
      </c>
      <c r="I575" s="31">
        <v>0</v>
      </c>
      <c r="J575" s="31">
        <v>0</v>
      </c>
      <c r="K575" s="33">
        <v>6</v>
      </c>
      <c r="L575" s="31">
        <v>13489818</v>
      </c>
      <c r="M575" s="31">
        <v>0</v>
      </c>
      <c r="N575" s="31">
        <v>0</v>
      </c>
      <c r="O575" s="31">
        <v>0</v>
      </c>
      <c r="P575" s="31">
        <v>0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0</v>
      </c>
      <c r="W575" s="31">
        <v>0</v>
      </c>
      <c r="X575" s="31">
        <v>0</v>
      </c>
      <c r="Y575" s="31">
        <v>0</v>
      </c>
      <c r="Z575" s="31">
        <v>0</v>
      </c>
      <c r="AA575" s="31">
        <v>0</v>
      </c>
      <c r="AB575" s="31">
        <v>0</v>
      </c>
      <c r="AC575" s="31">
        <v>0</v>
      </c>
      <c r="AD575" s="31">
        <v>200000</v>
      </c>
      <c r="AE575" s="31">
        <v>0</v>
      </c>
      <c r="AF575" s="34">
        <v>2021</v>
      </c>
      <c r="AG575" s="34">
        <v>2021</v>
      </c>
      <c r="AH575" s="35" t="s">
        <v>274</v>
      </c>
    </row>
    <row r="576" spans="1:80" ht="61.5" x14ac:dyDescent="0.85">
      <c r="A576" s="20">
        <v>1</v>
      </c>
      <c r="B576" s="66">
        <f>SUBTOTAL(103,$A$567:A576)</f>
        <v>10</v>
      </c>
      <c r="C576" s="24" t="s">
        <v>556</v>
      </c>
      <c r="D576" s="31">
        <f t="shared" si="242"/>
        <v>2570383.31</v>
      </c>
      <c r="E576" s="31">
        <v>0</v>
      </c>
      <c r="F576" s="31">
        <v>0</v>
      </c>
      <c r="G576" s="31">
        <v>0</v>
      </c>
      <c r="H576" s="31">
        <v>0</v>
      </c>
      <c r="I576" s="31">
        <v>0</v>
      </c>
      <c r="J576" s="31">
        <v>0</v>
      </c>
      <c r="K576" s="33">
        <v>0</v>
      </c>
      <c r="L576" s="31">
        <v>0</v>
      </c>
      <c r="M576" s="31">
        <v>520</v>
      </c>
      <c r="N576" s="31">
        <v>2433875.1800000002</v>
      </c>
      <c r="O576" s="31">
        <v>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v>0</v>
      </c>
      <c r="Y576" s="31">
        <v>0</v>
      </c>
      <c r="Z576" s="31">
        <v>0</v>
      </c>
      <c r="AA576" s="31">
        <v>0</v>
      </c>
      <c r="AB576" s="31">
        <v>0</v>
      </c>
      <c r="AC576" s="31">
        <f t="shared" si="244"/>
        <v>36508.129999999997</v>
      </c>
      <c r="AD576" s="31">
        <v>100000</v>
      </c>
      <c r="AE576" s="31">
        <v>0</v>
      </c>
      <c r="AF576" s="34">
        <v>2021</v>
      </c>
      <c r="AG576" s="34">
        <v>2021</v>
      </c>
      <c r="AH576" s="35">
        <v>2021</v>
      </c>
      <c r="AT576" s="20" t="e">
        <f t="shared" ref="AT576:AT587" si="245">VLOOKUP(C576,AW:AX,2,FALSE)</f>
        <v>#N/A</v>
      </c>
    </row>
    <row r="577" spans="1:46" ht="61.5" x14ac:dyDescent="0.85">
      <c r="A577" s="20">
        <v>1</v>
      </c>
      <c r="B577" s="66">
        <f>SUBTOTAL(103,$A$567:A577)</f>
        <v>11</v>
      </c>
      <c r="C577" s="24" t="s">
        <v>557</v>
      </c>
      <c r="D577" s="31">
        <f t="shared" si="242"/>
        <v>4554037.87</v>
      </c>
      <c r="E577" s="31">
        <v>0</v>
      </c>
      <c r="F577" s="31">
        <v>0</v>
      </c>
      <c r="G577" s="31">
        <v>0</v>
      </c>
      <c r="H577" s="31">
        <v>0</v>
      </c>
      <c r="I577" s="31">
        <v>0</v>
      </c>
      <c r="J577" s="31">
        <v>0</v>
      </c>
      <c r="K577" s="33">
        <v>0</v>
      </c>
      <c r="L577" s="31">
        <v>0</v>
      </c>
      <c r="M577" s="31">
        <v>925.13</v>
      </c>
      <c r="N577" s="31">
        <v>4388214.6500000004</v>
      </c>
      <c r="O577" s="31">
        <v>0</v>
      </c>
      <c r="P577" s="31">
        <v>0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1">
        <v>0</v>
      </c>
      <c r="Y577" s="31">
        <v>0</v>
      </c>
      <c r="Z577" s="31">
        <v>0</v>
      </c>
      <c r="AA577" s="31">
        <v>0</v>
      </c>
      <c r="AB577" s="31">
        <v>0</v>
      </c>
      <c r="AC577" s="31">
        <f t="shared" si="244"/>
        <v>65823.22</v>
      </c>
      <c r="AD577" s="31">
        <v>100000</v>
      </c>
      <c r="AE577" s="31">
        <v>0</v>
      </c>
      <c r="AF577" s="34">
        <v>2021</v>
      </c>
      <c r="AG577" s="34">
        <v>2021</v>
      </c>
      <c r="AH577" s="35">
        <v>2021</v>
      </c>
      <c r="AT577" s="20" t="e">
        <f t="shared" si="245"/>
        <v>#N/A</v>
      </c>
    </row>
    <row r="578" spans="1:46" ht="61.5" x14ac:dyDescent="0.85">
      <c r="A578" s="20">
        <v>1</v>
      </c>
      <c r="B578" s="66">
        <f>SUBTOTAL(103,$A$567:A578)</f>
        <v>12</v>
      </c>
      <c r="C578" s="24" t="s">
        <v>558</v>
      </c>
      <c r="D578" s="31">
        <f t="shared" si="242"/>
        <v>3759019.5700000003</v>
      </c>
      <c r="E578" s="31">
        <v>0</v>
      </c>
      <c r="F578" s="31">
        <v>0</v>
      </c>
      <c r="G578" s="31">
        <v>0</v>
      </c>
      <c r="H578" s="31">
        <v>0</v>
      </c>
      <c r="I578" s="31">
        <v>0</v>
      </c>
      <c r="J578" s="31">
        <v>0</v>
      </c>
      <c r="K578" s="33">
        <v>0</v>
      </c>
      <c r="L578" s="31">
        <v>0</v>
      </c>
      <c r="M578" s="31">
        <v>760</v>
      </c>
      <c r="N578" s="31">
        <v>3604945.39</v>
      </c>
      <c r="O578" s="31">
        <v>0</v>
      </c>
      <c r="P578" s="31">
        <v>0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0</v>
      </c>
      <c r="W578" s="31">
        <v>0</v>
      </c>
      <c r="X578" s="31">
        <v>0</v>
      </c>
      <c r="Y578" s="31">
        <v>0</v>
      </c>
      <c r="Z578" s="31">
        <v>0</v>
      </c>
      <c r="AA578" s="31">
        <v>0</v>
      </c>
      <c r="AB578" s="31">
        <v>0</v>
      </c>
      <c r="AC578" s="31">
        <f t="shared" si="244"/>
        <v>54074.18</v>
      </c>
      <c r="AD578" s="31">
        <v>100000</v>
      </c>
      <c r="AE578" s="31">
        <v>0</v>
      </c>
      <c r="AF578" s="34">
        <v>2021</v>
      </c>
      <c r="AG578" s="34">
        <v>2021</v>
      </c>
      <c r="AH578" s="35">
        <v>2021</v>
      </c>
      <c r="AT578" s="20" t="e">
        <f t="shared" si="245"/>
        <v>#N/A</v>
      </c>
    </row>
    <row r="579" spans="1:46" ht="61.5" x14ac:dyDescent="0.85">
      <c r="A579" s="20">
        <v>1</v>
      </c>
      <c r="B579" s="66">
        <f>SUBTOTAL(103,$A$567:A579)</f>
        <v>13</v>
      </c>
      <c r="C579" s="24" t="s">
        <v>559</v>
      </c>
      <c r="D579" s="31">
        <f t="shared" si="242"/>
        <v>2589386.2599999998</v>
      </c>
      <c r="E579" s="31">
        <v>0</v>
      </c>
      <c r="F579" s="31">
        <v>0</v>
      </c>
      <c r="G579" s="31">
        <v>0</v>
      </c>
      <c r="H579" s="31">
        <v>0</v>
      </c>
      <c r="I579" s="31">
        <v>0</v>
      </c>
      <c r="J579" s="31">
        <v>0</v>
      </c>
      <c r="K579" s="33">
        <v>0</v>
      </c>
      <c r="L579" s="31">
        <v>0</v>
      </c>
      <c r="M579" s="31">
        <v>524</v>
      </c>
      <c r="N579" s="31">
        <v>2452597.2999999998</v>
      </c>
      <c r="O579" s="31">
        <v>0</v>
      </c>
      <c r="P579" s="31">
        <v>0</v>
      </c>
      <c r="Q579" s="31">
        <v>0</v>
      </c>
      <c r="R579" s="31">
        <v>0</v>
      </c>
      <c r="S579" s="31">
        <v>0</v>
      </c>
      <c r="T579" s="31">
        <v>0</v>
      </c>
      <c r="U579" s="31">
        <v>0</v>
      </c>
      <c r="V579" s="31">
        <v>0</v>
      </c>
      <c r="W579" s="31">
        <v>0</v>
      </c>
      <c r="X579" s="31">
        <v>0</v>
      </c>
      <c r="Y579" s="31">
        <v>0</v>
      </c>
      <c r="Z579" s="31">
        <v>0</v>
      </c>
      <c r="AA579" s="31">
        <v>0</v>
      </c>
      <c r="AB579" s="31">
        <v>0</v>
      </c>
      <c r="AC579" s="31">
        <f t="shared" si="244"/>
        <v>36788.959999999999</v>
      </c>
      <c r="AD579" s="31">
        <v>100000</v>
      </c>
      <c r="AE579" s="31">
        <v>0</v>
      </c>
      <c r="AF579" s="34">
        <v>2021</v>
      </c>
      <c r="AG579" s="34">
        <v>2021</v>
      </c>
      <c r="AH579" s="35">
        <v>2021</v>
      </c>
      <c r="AT579" s="20" t="e">
        <f t="shared" si="245"/>
        <v>#N/A</v>
      </c>
    </row>
    <row r="580" spans="1:46" ht="61.5" x14ac:dyDescent="0.85">
      <c r="A580" s="20">
        <v>1</v>
      </c>
      <c r="B580" s="66">
        <f>SUBTOTAL(103,$A$567:A580)</f>
        <v>14</v>
      </c>
      <c r="C580" s="24" t="s">
        <v>560</v>
      </c>
      <c r="D580" s="31">
        <f t="shared" si="242"/>
        <v>5092635.92</v>
      </c>
      <c r="E580" s="31">
        <v>0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3">
        <v>0</v>
      </c>
      <c r="L580" s="31">
        <v>0</v>
      </c>
      <c r="M580" s="31">
        <v>1037</v>
      </c>
      <c r="N580" s="31">
        <v>4918853.12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0</v>
      </c>
      <c r="W580" s="31">
        <v>0</v>
      </c>
      <c r="X580" s="31">
        <v>0</v>
      </c>
      <c r="Y580" s="31">
        <v>0</v>
      </c>
      <c r="Z580" s="31">
        <v>0</v>
      </c>
      <c r="AA580" s="31">
        <v>0</v>
      </c>
      <c r="AB580" s="31">
        <v>0</v>
      </c>
      <c r="AC580" s="31">
        <f t="shared" si="244"/>
        <v>73782.8</v>
      </c>
      <c r="AD580" s="31">
        <v>100000</v>
      </c>
      <c r="AE580" s="31">
        <v>0</v>
      </c>
      <c r="AF580" s="34">
        <v>2021</v>
      </c>
      <c r="AG580" s="34">
        <v>2021</v>
      </c>
      <c r="AH580" s="35">
        <v>2021</v>
      </c>
      <c r="AT580" s="20" t="e">
        <f t="shared" si="245"/>
        <v>#N/A</v>
      </c>
    </row>
    <row r="581" spans="1:46" ht="61.5" x14ac:dyDescent="0.85">
      <c r="A581" s="20">
        <v>1</v>
      </c>
      <c r="B581" s="66">
        <f>SUBTOTAL(103,$A$567:A581)</f>
        <v>15</v>
      </c>
      <c r="C581" s="24" t="s">
        <v>561</v>
      </c>
      <c r="D581" s="31">
        <f t="shared" si="242"/>
        <v>3229425.65</v>
      </c>
      <c r="E581" s="31">
        <v>0</v>
      </c>
      <c r="F581" s="31">
        <v>0</v>
      </c>
      <c r="G581" s="31">
        <v>0</v>
      </c>
      <c r="H581" s="31">
        <v>0</v>
      </c>
      <c r="I581" s="31">
        <v>0</v>
      </c>
      <c r="J581" s="31">
        <v>0</v>
      </c>
      <c r="K581" s="33">
        <v>0</v>
      </c>
      <c r="L581" s="31">
        <v>0</v>
      </c>
      <c r="M581" s="31">
        <v>650</v>
      </c>
      <c r="N581" s="31">
        <v>3083177.98</v>
      </c>
      <c r="O581" s="31">
        <v>0</v>
      </c>
      <c r="P581" s="31">
        <v>0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0</v>
      </c>
      <c r="W581" s="31">
        <v>0</v>
      </c>
      <c r="X581" s="31">
        <v>0</v>
      </c>
      <c r="Y581" s="31">
        <v>0</v>
      </c>
      <c r="Z581" s="31">
        <v>0</v>
      </c>
      <c r="AA581" s="31">
        <v>0</v>
      </c>
      <c r="AB581" s="31">
        <v>0</v>
      </c>
      <c r="AC581" s="31">
        <f t="shared" si="244"/>
        <v>46247.67</v>
      </c>
      <c r="AD581" s="31">
        <v>100000</v>
      </c>
      <c r="AE581" s="31">
        <v>0</v>
      </c>
      <c r="AF581" s="34">
        <v>2021</v>
      </c>
      <c r="AG581" s="34">
        <v>2021</v>
      </c>
      <c r="AH581" s="35">
        <v>2021</v>
      </c>
      <c r="AT581" s="20" t="e">
        <f t="shared" si="245"/>
        <v>#N/A</v>
      </c>
    </row>
    <row r="582" spans="1:46" ht="61.5" x14ac:dyDescent="0.85">
      <c r="A582" s="20">
        <v>1</v>
      </c>
      <c r="B582" s="66">
        <f>SUBTOTAL(103,$A$567:A582)</f>
        <v>16</v>
      </c>
      <c r="C582" s="24" t="s">
        <v>562</v>
      </c>
      <c r="D582" s="31">
        <f t="shared" si="242"/>
        <v>5398710.1299999999</v>
      </c>
      <c r="E582" s="31">
        <v>0</v>
      </c>
      <c r="F582" s="31">
        <v>0</v>
      </c>
      <c r="G582" s="31">
        <v>0</v>
      </c>
      <c r="H582" s="31">
        <v>0</v>
      </c>
      <c r="I582" s="31">
        <v>0</v>
      </c>
      <c r="J582" s="31">
        <v>0</v>
      </c>
      <c r="K582" s="33">
        <v>0</v>
      </c>
      <c r="L582" s="31">
        <v>0</v>
      </c>
      <c r="M582" s="31">
        <v>1068</v>
      </c>
      <c r="N582" s="31">
        <v>5220404.07</v>
      </c>
      <c r="O582" s="31">
        <v>0</v>
      </c>
      <c r="P582" s="31">
        <v>0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0</v>
      </c>
      <c r="W582" s="31">
        <v>0</v>
      </c>
      <c r="X582" s="31">
        <v>0</v>
      </c>
      <c r="Y582" s="31">
        <v>0</v>
      </c>
      <c r="Z582" s="31">
        <v>0</v>
      </c>
      <c r="AA582" s="31">
        <v>0</v>
      </c>
      <c r="AB582" s="31">
        <v>0</v>
      </c>
      <c r="AC582" s="31">
        <f t="shared" si="244"/>
        <v>78306.06</v>
      </c>
      <c r="AD582" s="31">
        <v>100000</v>
      </c>
      <c r="AE582" s="31">
        <v>0</v>
      </c>
      <c r="AF582" s="34">
        <v>2021</v>
      </c>
      <c r="AG582" s="34">
        <v>2021</v>
      </c>
      <c r="AH582" s="35">
        <v>2021</v>
      </c>
      <c r="AT582" s="20" t="e">
        <f t="shared" si="245"/>
        <v>#N/A</v>
      </c>
    </row>
    <row r="583" spans="1:46" ht="61.5" x14ac:dyDescent="0.85">
      <c r="A583" s="20">
        <v>1</v>
      </c>
      <c r="B583" s="66">
        <f>SUBTOTAL(103,$A$567:A583)</f>
        <v>17</v>
      </c>
      <c r="C583" s="24" t="s">
        <v>563</v>
      </c>
      <c r="D583" s="31">
        <f t="shared" si="242"/>
        <v>5145091.9399999995</v>
      </c>
      <c r="E583" s="31">
        <v>0</v>
      </c>
      <c r="F583" s="31">
        <v>0</v>
      </c>
      <c r="G583" s="31">
        <v>0</v>
      </c>
      <c r="H583" s="31">
        <v>0</v>
      </c>
      <c r="I583" s="31">
        <v>0</v>
      </c>
      <c r="J583" s="31">
        <v>0</v>
      </c>
      <c r="K583" s="33">
        <v>0</v>
      </c>
      <c r="L583" s="31">
        <v>0</v>
      </c>
      <c r="M583" s="31">
        <v>1062</v>
      </c>
      <c r="N583" s="31">
        <v>4970533.93</v>
      </c>
      <c r="O583" s="31">
        <v>0</v>
      </c>
      <c r="P583" s="31">
        <v>0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1">
        <v>0</v>
      </c>
      <c r="Y583" s="31">
        <v>0</v>
      </c>
      <c r="Z583" s="31">
        <v>0</v>
      </c>
      <c r="AA583" s="31">
        <v>0</v>
      </c>
      <c r="AB583" s="31">
        <v>0</v>
      </c>
      <c r="AC583" s="31">
        <f t="shared" si="244"/>
        <v>74558.009999999995</v>
      </c>
      <c r="AD583" s="31">
        <v>100000</v>
      </c>
      <c r="AE583" s="31">
        <v>0</v>
      </c>
      <c r="AF583" s="34">
        <v>2021</v>
      </c>
      <c r="AG583" s="34">
        <v>2021</v>
      </c>
      <c r="AH583" s="35">
        <v>2021</v>
      </c>
      <c r="AT583" s="20" t="e">
        <f t="shared" si="245"/>
        <v>#N/A</v>
      </c>
    </row>
    <row r="584" spans="1:46" ht="61.5" x14ac:dyDescent="0.85">
      <c r="A584" s="20">
        <v>1</v>
      </c>
      <c r="B584" s="66">
        <f>SUBTOTAL(103,$A$567:A584)</f>
        <v>18</v>
      </c>
      <c r="C584" s="24" t="s">
        <v>564</v>
      </c>
      <c r="D584" s="31">
        <f t="shared" si="242"/>
        <v>4517275.3499999996</v>
      </c>
      <c r="E584" s="31">
        <v>0</v>
      </c>
      <c r="F584" s="31">
        <v>0</v>
      </c>
      <c r="G584" s="31">
        <v>0</v>
      </c>
      <c r="H584" s="31">
        <v>0</v>
      </c>
      <c r="I584" s="31">
        <v>0</v>
      </c>
      <c r="J584" s="31">
        <v>0</v>
      </c>
      <c r="K584" s="33">
        <v>0</v>
      </c>
      <c r="L584" s="31">
        <v>0</v>
      </c>
      <c r="M584" s="31">
        <v>980</v>
      </c>
      <c r="N584" s="31">
        <v>4351995.42</v>
      </c>
      <c r="O584" s="31">
        <v>0</v>
      </c>
      <c r="P584" s="31">
        <v>0</v>
      </c>
      <c r="Q584" s="31">
        <v>0</v>
      </c>
      <c r="R584" s="31">
        <v>0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v>0</v>
      </c>
      <c r="Y584" s="31">
        <v>0</v>
      </c>
      <c r="Z584" s="31">
        <v>0</v>
      </c>
      <c r="AA584" s="31">
        <v>0</v>
      </c>
      <c r="AB584" s="31">
        <v>0</v>
      </c>
      <c r="AC584" s="31">
        <f t="shared" si="244"/>
        <v>65279.93</v>
      </c>
      <c r="AD584" s="31">
        <v>100000</v>
      </c>
      <c r="AE584" s="31">
        <v>0</v>
      </c>
      <c r="AF584" s="34">
        <v>2021</v>
      </c>
      <c r="AG584" s="34">
        <v>2021</v>
      </c>
      <c r="AH584" s="35">
        <v>2021</v>
      </c>
      <c r="AT584" s="20" t="e">
        <f t="shared" si="245"/>
        <v>#N/A</v>
      </c>
    </row>
    <row r="585" spans="1:46" ht="61.5" x14ac:dyDescent="0.85">
      <c r="A585" s="20">
        <v>1</v>
      </c>
      <c r="B585" s="66">
        <f>SUBTOTAL(103,$A$567:A585)</f>
        <v>19</v>
      </c>
      <c r="C585" s="24" t="s">
        <v>840</v>
      </c>
      <c r="D585" s="31">
        <f t="shared" si="242"/>
        <v>2739901.57</v>
      </c>
      <c r="E585" s="31">
        <v>0</v>
      </c>
      <c r="F585" s="31">
        <v>0</v>
      </c>
      <c r="G585" s="31">
        <v>0</v>
      </c>
      <c r="H585" s="31">
        <v>0</v>
      </c>
      <c r="I585" s="31">
        <v>0</v>
      </c>
      <c r="J585" s="31">
        <v>0</v>
      </c>
      <c r="K585" s="33">
        <v>0</v>
      </c>
      <c r="L585" s="31">
        <v>0</v>
      </c>
      <c r="M585" s="31">
        <v>635</v>
      </c>
      <c r="N585" s="31">
        <v>2600888.25</v>
      </c>
      <c r="O585" s="31">
        <v>0</v>
      </c>
      <c r="P585" s="31">
        <v>0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0</v>
      </c>
      <c r="W585" s="31">
        <v>0</v>
      </c>
      <c r="X585" s="31">
        <v>0</v>
      </c>
      <c r="Y585" s="31">
        <v>0</v>
      </c>
      <c r="Z585" s="31">
        <v>0</v>
      </c>
      <c r="AA585" s="31">
        <v>0</v>
      </c>
      <c r="AB585" s="31">
        <v>0</v>
      </c>
      <c r="AC585" s="31">
        <f t="shared" si="244"/>
        <v>39013.32</v>
      </c>
      <c r="AD585" s="31">
        <v>100000</v>
      </c>
      <c r="AE585" s="31">
        <v>0</v>
      </c>
      <c r="AF585" s="34">
        <v>2021</v>
      </c>
      <c r="AG585" s="34">
        <v>2021</v>
      </c>
      <c r="AH585" s="35">
        <v>2021</v>
      </c>
      <c r="AT585" s="20" t="e">
        <f t="shared" si="245"/>
        <v>#N/A</v>
      </c>
    </row>
    <row r="586" spans="1:46" ht="61.5" x14ac:dyDescent="0.85">
      <c r="A586" s="20">
        <v>1</v>
      </c>
      <c r="B586" s="66">
        <f>SUBTOTAL(103,$A$567:A586)</f>
        <v>20</v>
      </c>
      <c r="C586" s="24" t="s">
        <v>565</v>
      </c>
      <c r="D586" s="31">
        <f t="shared" si="242"/>
        <v>4549323.9899999993</v>
      </c>
      <c r="E586" s="31">
        <v>0</v>
      </c>
      <c r="F586" s="31">
        <v>0</v>
      </c>
      <c r="G586" s="31">
        <v>0</v>
      </c>
      <c r="H586" s="31">
        <v>0</v>
      </c>
      <c r="I586" s="31">
        <v>0</v>
      </c>
      <c r="J586" s="31">
        <v>0</v>
      </c>
      <c r="K586" s="33">
        <v>0</v>
      </c>
      <c r="L586" s="31">
        <v>0</v>
      </c>
      <c r="M586" s="31">
        <v>960</v>
      </c>
      <c r="N586" s="31">
        <v>4383570.43</v>
      </c>
      <c r="O586" s="31">
        <v>0</v>
      </c>
      <c r="P586" s="31">
        <v>0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0</v>
      </c>
      <c r="W586" s="31">
        <v>0</v>
      </c>
      <c r="X586" s="31">
        <v>0</v>
      </c>
      <c r="Y586" s="31">
        <v>0</v>
      </c>
      <c r="Z586" s="31">
        <v>0</v>
      </c>
      <c r="AA586" s="31">
        <v>0</v>
      </c>
      <c r="AB586" s="31">
        <v>0</v>
      </c>
      <c r="AC586" s="31">
        <f t="shared" si="244"/>
        <v>65753.56</v>
      </c>
      <c r="AD586" s="31">
        <v>100000</v>
      </c>
      <c r="AE586" s="31">
        <v>0</v>
      </c>
      <c r="AF586" s="34">
        <v>2021</v>
      </c>
      <c r="AG586" s="34">
        <v>2021</v>
      </c>
      <c r="AH586" s="35">
        <v>2021</v>
      </c>
      <c r="AT586" s="20" t="e">
        <f t="shared" si="245"/>
        <v>#N/A</v>
      </c>
    </row>
    <row r="587" spans="1:46" ht="61.5" x14ac:dyDescent="0.85">
      <c r="A587" s="20">
        <v>1</v>
      </c>
      <c r="B587" s="66">
        <f>SUBTOTAL(103,$A$567:A587)</f>
        <v>21</v>
      </c>
      <c r="C587" s="24" t="s">
        <v>566</v>
      </c>
      <c r="D587" s="31">
        <f t="shared" si="242"/>
        <v>3661902.1799999997</v>
      </c>
      <c r="E587" s="31">
        <v>0</v>
      </c>
      <c r="F587" s="31">
        <v>0</v>
      </c>
      <c r="G587" s="31">
        <v>0</v>
      </c>
      <c r="H587" s="31">
        <v>0</v>
      </c>
      <c r="I587" s="31">
        <v>0</v>
      </c>
      <c r="J587" s="31">
        <v>0</v>
      </c>
      <c r="K587" s="33">
        <v>0</v>
      </c>
      <c r="L587" s="31">
        <v>0</v>
      </c>
      <c r="M587" s="31">
        <v>775</v>
      </c>
      <c r="N587" s="31">
        <v>3538819.88</v>
      </c>
      <c r="O587" s="31">
        <v>0</v>
      </c>
      <c r="P587" s="31">
        <v>0</v>
      </c>
      <c r="Q587" s="31">
        <v>0</v>
      </c>
      <c r="R587" s="31">
        <v>0</v>
      </c>
      <c r="S587" s="31">
        <v>0</v>
      </c>
      <c r="T587" s="31">
        <v>0</v>
      </c>
      <c r="U587" s="31">
        <v>0</v>
      </c>
      <c r="V587" s="31">
        <v>0</v>
      </c>
      <c r="W587" s="31">
        <v>0</v>
      </c>
      <c r="X587" s="31">
        <v>0</v>
      </c>
      <c r="Y587" s="31">
        <v>0</v>
      </c>
      <c r="Z587" s="31">
        <v>0</v>
      </c>
      <c r="AA587" s="31">
        <v>0</v>
      </c>
      <c r="AB587" s="31">
        <v>0</v>
      </c>
      <c r="AC587" s="31">
        <f t="shared" si="244"/>
        <v>53082.3</v>
      </c>
      <c r="AD587" s="31">
        <v>70000</v>
      </c>
      <c r="AE587" s="31">
        <v>0</v>
      </c>
      <c r="AF587" s="34">
        <v>2021</v>
      </c>
      <c r="AG587" s="34">
        <v>2021</v>
      </c>
      <c r="AH587" s="35">
        <v>2021</v>
      </c>
      <c r="AT587" s="20" t="e">
        <f t="shared" si="245"/>
        <v>#N/A</v>
      </c>
    </row>
    <row r="588" spans="1:46" ht="61.5" x14ac:dyDescent="0.85">
      <c r="A588" s="20">
        <v>1</v>
      </c>
      <c r="B588" s="66">
        <f>SUBTOTAL(103,$A$567:A588)</f>
        <v>22</v>
      </c>
      <c r="C588" s="24" t="s">
        <v>1478</v>
      </c>
      <c r="D588" s="31">
        <f t="shared" si="242"/>
        <v>5911583.5</v>
      </c>
      <c r="E588" s="31">
        <v>0</v>
      </c>
      <c r="F588" s="31">
        <v>0</v>
      </c>
      <c r="G588" s="31">
        <v>0</v>
      </c>
      <c r="H588" s="31">
        <v>0</v>
      </c>
      <c r="I588" s="31">
        <v>0</v>
      </c>
      <c r="J588" s="31">
        <v>0</v>
      </c>
      <c r="K588" s="33">
        <v>0</v>
      </c>
      <c r="L588" s="31">
        <v>0</v>
      </c>
      <c r="M588" s="31">
        <v>1207.0999999999999</v>
      </c>
      <c r="N588" s="31">
        <v>5725698.0300000003</v>
      </c>
      <c r="O588" s="31">
        <v>0</v>
      </c>
      <c r="P588" s="31">
        <v>0</v>
      </c>
      <c r="Q588" s="31">
        <v>0</v>
      </c>
      <c r="R588" s="31">
        <v>0</v>
      </c>
      <c r="S588" s="31">
        <v>0</v>
      </c>
      <c r="T588" s="31">
        <v>0</v>
      </c>
      <c r="U588" s="31">
        <v>0</v>
      </c>
      <c r="V588" s="31">
        <v>0</v>
      </c>
      <c r="W588" s="31">
        <v>0</v>
      </c>
      <c r="X588" s="31">
        <v>0</v>
      </c>
      <c r="Y588" s="31">
        <v>0</v>
      </c>
      <c r="Z588" s="31">
        <v>0</v>
      </c>
      <c r="AA588" s="31">
        <v>0</v>
      </c>
      <c r="AB588" s="31">
        <v>0</v>
      </c>
      <c r="AC588" s="31">
        <v>85885.47</v>
      </c>
      <c r="AD588" s="31">
        <v>100000</v>
      </c>
      <c r="AE588" s="31">
        <v>0</v>
      </c>
      <c r="AF588" s="34">
        <v>2021</v>
      </c>
      <c r="AG588" s="34">
        <v>2021</v>
      </c>
      <c r="AH588" s="35">
        <v>2021</v>
      </c>
    </row>
    <row r="589" spans="1:46" ht="61.5" x14ac:dyDescent="0.85">
      <c r="A589" s="20">
        <v>1</v>
      </c>
      <c r="B589" s="66">
        <f>SUBTOTAL(103,$A$567:A589)</f>
        <v>23</v>
      </c>
      <c r="C589" s="24" t="s">
        <v>567</v>
      </c>
      <c r="D589" s="31">
        <f t="shared" si="242"/>
        <v>2179444.67</v>
      </c>
      <c r="E589" s="31">
        <v>0</v>
      </c>
      <c r="F589" s="31">
        <v>0</v>
      </c>
      <c r="G589" s="31">
        <v>0</v>
      </c>
      <c r="H589" s="31">
        <v>0</v>
      </c>
      <c r="I589" s="31">
        <v>0</v>
      </c>
      <c r="J589" s="31">
        <v>0</v>
      </c>
      <c r="K589" s="33">
        <v>1</v>
      </c>
      <c r="L589" s="31">
        <v>2079444.67</v>
      </c>
      <c r="M589" s="31">
        <v>0</v>
      </c>
      <c r="N589" s="31">
        <v>0</v>
      </c>
      <c r="O589" s="31">
        <v>0</v>
      </c>
      <c r="P589" s="31">
        <v>0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0</v>
      </c>
      <c r="W589" s="31">
        <v>0</v>
      </c>
      <c r="X589" s="31">
        <v>0</v>
      </c>
      <c r="Y589" s="31">
        <v>0</v>
      </c>
      <c r="Z589" s="31">
        <v>0</v>
      </c>
      <c r="AA589" s="31">
        <v>0</v>
      </c>
      <c r="AB589" s="31">
        <v>0</v>
      </c>
      <c r="AC589" s="31">
        <v>0</v>
      </c>
      <c r="AD589" s="31">
        <v>100000</v>
      </c>
      <c r="AE589" s="31">
        <v>0</v>
      </c>
      <c r="AF589" s="34">
        <v>2021</v>
      </c>
      <c r="AG589" s="34">
        <v>2021</v>
      </c>
      <c r="AH589" s="35" t="s">
        <v>274</v>
      </c>
      <c r="AT589" s="20" t="e">
        <f t="shared" ref="AT589:AT599" si="246">VLOOKUP(C589,AW:AX,2,FALSE)</f>
        <v>#N/A</v>
      </c>
    </row>
    <row r="590" spans="1:46" ht="61.5" x14ac:dyDescent="0.85">
      <c r="A590" s="20">
        <v>1</v>
      </c>
      <c r="B590" s="66">
        <f>SUBTOTAL(103,$A$567:A590)</f>
        <v>24</v>
      </c>
      <c r="C590" s="24" t="s">
        <v>841</v>
      </c>
      <c r="D590" s="31">
        <f t="shared" si="242"/>
        <v>3110127.71</v>
      </c>
      <c r="E590" s="31">
        <v>0</v>
      </c>
      <c r="F590" s="31">
        <v>0</v>
      </c>
      <c r="G590" s="31">
        <v>0</v>
      </c>
      <c r="H590" s="31">
        <v>0</v>
      </c>
      <c r="I590" s="31">
        <v>0</v>
      </c>
      <c r="J590" s="31">
        <v>0</v>
      </c>
      <c r="K590" s="33">
        <v>0</v>
      </c>
      <c r="L590" s="31">
        <v>0</v>
      </c>
      <c r="M590" s="31">
        <v>700</v>
      </c>
      <c r="N590" s="31">
        <v>2867120.9</v>
      </c>
      <c r="O590" s="31">
        <v>0</v>
      </c>
      <c r="P590" s="31">
        <v>0</v>
      </c>
      <c r="Q590" s="31">
        <v>0</v>
      </c>
      <c r="R590" s="31">
        <v>0</v>
      </c>
      <c r="S590" s="31">
        <v>0</v>
      </c>
      <c r="T590" s="31">
        <v>0</v>
      </c>
      <c r="U590" s="31">
        <v>0</v>
      </c>
      <c r="V590" s="31">
        <v>0</v>
      </c>
      <c r="W590" s="31">
        <v>0</v>
      </c>
      <c r="X590" s="31">
        <v>0</v>
      </c>
      <c r="Y590" s="31">
        <v>0</v>
      </c>
      <c r="Z590" s="31">
        <v>0</v>
      </c>
      <c r="AA590" s="31">
        <v>0</v>
      </c>
      <c r="AB590" s="31">
        <v>0</v>
      </c>
      <c r="AC590" s="31">
        <f t="shared" ref="AC590:AC591" si="247">ROUND(N590*1.5%,2)</f>
        <v>43006.81</v>
      </c>
      <c r="AD590" s="31">
        <v>200000</v>
      </c>
      <c r="AE590" s="31">
        <v>0</v>
      </c>
      <c r="AF590" s="34">
        <v>2021</v>
      </c>
      <c r="AG590" s="34">
        <v>2021</v>
      </c>
      <c r="AH590" s="35">
        <v>2021</v>
      </c>
      <c r="AT590" s="20" t="e">
        <f t="shared" si="246"/>
        <v>#N/A</v>
      </c>
    </row>
    <row r="591" spans="1:46" ht="61.5" x14ac:dyDescent="0.85">
      <c r="A591" s="20">
        <v>1</v>
      </c>
      <c r="B591" s="66">
        <f>SUBTOTAL(103,$A$567:A591)</f>
        <v>25</v>
      </c>
      <c r="C591" s="24" t="s">
        <v>568</v>
      </c>
      <c r="D591" s="31">
        <f t="shared" si="242"/>
        <v>1126135.8999999999</v>
      </c>
      <c r="E591" s="31">
        <v>0</v>
      </c>
      <c r="F591" s="31">
        <v>0</v>
      </c>
      <c r="G591" s="31">
        <v>0</v>
      </c>
      <c r="H591" s="31">
        <v>0</v>
      </c>
      <c r="I591" s="31">
        <v>0</v>
      </c>
      <c r="J591" s="31">
        <v>0</v>
      </c>
      <c r="K591" s="33">
        <v>0</v>
      </c>
      <c r="L591" s="31">
        <v>0</v>
      </c>
      <c r="M591" s="31">
        <v>210</v>
      </c>
      <c r="N591" s="31">
        <v>996103.33</v>
      </c>
      <c r="O591" s="31">
        <v>0</v>
      </c>
      <c r="P591" s="31">
        <v>0</v>
      </c>
      <c r="Q591" s="31">
        <v>0</v>
      </c>
      <c r="R591" s="31">
        <v>0</v>
      </c>
      <c r="S591" s="31">
        <v>0</v>
      </c>
      <c r="T591" s="31">
        <v>0</v>
      </c>
      <c r="U591" s="31">
        <v>0</v>
      </c>
      <c r="V591" s="31">
        <v>0</v>
      </c>
      <c r="W591" s="31">
        <v>0</v>
      </c>
      <c r="X591" s="31">
        <v>0</v>
      </c>
      <c r="Y591" s="31">
        <v>0</v>
      </c>
      <c r="Z591" s="31">
        <v>0</v>
      </c>
      <c r="AA591" s="31">
        <v>0</v>
      </c>
      <c r="AB591" s="31">
        <v>0</v>
      </c>
      <c r="AC591" s="31">
        <f t="shared" si="247"/>
        <v>14941.55</v>
      </c>
      <c r="AD591" s="31">
        <v>115091.02</v>
      </c>
      <c r="AE591" s="31">
        <v>0</v>
      </c>
      <c r="AF591" s="34">
        <v>2021</v>
      </c>
      <c r="AG591" s="34">
        <v>2021</v>
      </c>
      <c r="AH591" s="35">
        <v>2021</v>
      </c>
      <c r="AT591" s="20" t="e">
        <f t="shared" si="246"/>
        <v>#N/A</v>
      </c>
    </row>
    <row r="592" spans="1:46" ht="61.5" x14ac:dyDescent="0.85">
      <c r="A592" s="20">
        <v>1</v>
      </c>
      <c r="B592" s="66">
        <f>SUBTOTAL(103,$A$567:A592)</f>
        <v>26</v>
      </c>
      <c r="C592" s="24" t="s">
        <v>569</v>
      </c>
      <c r="D592" s="31">
        <f t="shared" si="242"/>
        <v>4057359.23</v>
      </c>
      <c r="E592" s="31">
        <v>0</v>
      </c>
      <c r="F592" s="31">
        <v>0</v>
      </c>
      <c r="G592" s="31">
        <v>0</v>
      </c>
      <c r="H592" s="31">
        <v>0</v>
      </c>
      <c r="I592" s="31">
        <v>0</v>
      </c>
      <c r="J592" s="31">
        <v>0</v>
      </c>
      <c r="K592" s="33">
        <v>0</v>
      </c>
      <c r="L592" s="31">
        <v>0</v>
      </c>
      <c r="M592" s="31">
        <v>0</v>
      </c>
      <c r="N592" s="31">
        <v>0</v>
      </c>
      <c r="O592" s="31">
        <v>0</v>
      </c>
      <c r="P592" s="31">
        <v>0</v>
      </c>
      <c r="Q592" s="31">
        <v>940.98</v>
      </c>
      <c r="R592" s="31">
        <v>3849615</v>
      </c>
      <c r="S592" s="31">
        <v>0</v>
      </c>
      <c r="T592" s="31">
        <v>0</v>
      </c>
      <c r="U592" s="31">
        <v>0</v>
      </c>
      <c r="V592" s="31">
        <v>0</v>
      </c>
      <c r="W592" s="31">
        <v>0</v>
      </c>
      <c r="X592" s="31">
        <v>0</v>
      </c>
      <c r="Y592" s="31">
        <v>0</v>
      </c>
      <c r="Z592" s="31">
        <v>0</v>
      </c>
      <c r="AA592" s="31">
        <v>0</v>
      </c>
      <c r="AB592" s="31">
        <v>0</v>
      </c>
      <c r="AC592" s="31">
        <f t="shared" ref="AC592" si="248">ROUND(R592*1.5%,2)</f>
        <v>57744.23</v>
      </c>
      <c r="AD592" s="31">
        <v>150000</v>
      </c>
      <c r="AE592" s="31">
        <v>0</v>
      </c>
      <c r="AF592" s="34">
        <v>2021</v>
      </c>
      <c r="AG592" s="34">
        <v>2021</v>
      </c>
      <c r="AH592" s="35">
        <v>2021</v>
      </c>
      <c r="AT592" s="20" t="e">
        <f t="shared" si="246"/>
        <v>#N/A</v>
      </c>
    </row>
    <row r="593" spans="1:46" ht="61.5" x14ac:dyDescent="0.85">
      <c r="A593" s="20">
        <v>1</v>
      </c>
      <c r="B593" s="66">
        <f>SUBTOTAL(103,$A$567:A593)</f>
        <v>27</v>
      </c>
      <c r="C593" s="24" t="s">
        <v>570</v>
      </c>
      <c r="D593" s="31">
        <f t="shared" si="242"/>
        <v>2760412.39</v>
      </c>
      <c r="E593" s="31">
        <v>0</v>
      </c>
      <c r="F593" s="31">
        <v>0</v>
      </c>
      <c r="G593" s="31">
        <v>0</v>
      </c>
      <c r="H593" s="31">
        <v>0</v>
      </c>
      <c r="I593" s="31">
        <v>0</v>
      </c>
      <c r="J593" s="31">
        <v>0</v>
      </c>
      <c r="K593" s="33">
        <v>0</v>
      </c>
      <c r="L593" s="31">
        <v>0</v>
      </c>
      <c r="M593" s="31">
        <v>560</v>
      </c>
      <c r="N593" s="31">
        <v>2621095.9500000002</v>
      </c>
      <c r="O593" s="31">
        <v>0</v>
      </c>
      <c r="P593" s="31">
        <v>0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v>0</v>
      </c>
      <c r="Y593" s="31">
        <v>0</v>
      </c>
      <c r="Z593" s="31">
        <v>0</v>
      </c>
      <c r="AA593" s="31">
        <v>0</v>
      </c>
      <c r="AB593" s="31">
        <v>0</v>
      </c>
      <c r="AC593" s="31">
        <f t="shared" ref="AC593:AC596" si="249">ROUND(N593*1.5%,2)</f>
        <v>39316.44</v>
      </c>
      <c r="AD593" s="31">
        <v>100000</v>
      </c>
      <c r="AE593" s="31">
        <v>0</v>
      </c>
      <c r="AF593" s="34">
        <v>2021</v>
      </c>
      <c r="AG593" s="34">
        <v>2021</v>
      </c>
      <c r="AH593" s="35">
        <v>2021</v>
      </c>
      <c r="AT593" s="20" t="e">
        <f t="shared" si="246"/>
        <v>#N/A</v>
      </c>
    </row>
    <row r="594" spans="1:46" ht="61.5" x14ac:dyDescent="0.85">
      <c r="A594" s="20">
        <v>1</v>
      </c>
      <c r="B594" s="66">
        <f>SUBTOTAL(103,$A$567:A594)</f>
        <v>28</v>
      </c>
      <c r="C594" s="24" t="s">
        <v>843</v>
      </c>
      <c r="D594" s="31">
        <f t="shared" si="242"/>
        <v>5592560.8499999996</v>
      </c>
      <c r="E594" s="31">
        <v>0</v>
      </c>
      <c r="F594" s="31">
        <v>0</v>
      </c>
      <c r="G594" s="31">
        <v>0</v>
      </c>
      <c r="H594" s="31">
        <v>0</v>
      </c>
      <c r="I594" s="31">
        <v>0</v>
      </c>
      <c r="J594" s="31">
        <v>0</v>
      </c>
      <c r="K594" s="33">
        <v>0</v>
      </c>
      <c r="L594" s="31">
        <v>0</v>
      </c>
      <c r="M594" s="31">
        <v>1391</v>
      </c>
      <c r="N594" s="31">
        <v>5411390</v>
      </c>
      <c r="O594" s="31">
        <v>0</v>
      </c>
      <c r="P594" s="31">
        <v>0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0</v>
      </c>
      <c r="W594" s="31">
        <v>0</v>
      </c>
      <c r="X594" s="31">
        <v>0</v>
      </c>
      <c r="Y594" s="31">
        <v>0</v>
      </c>
      <c r="Z594" s="31">
        <v>0</v>
      </c>
      <c r="AA594" s="31">
        <v>0</v>
      </c>
      <c r="AB594" s="31">
        <v>0</v>
      </c>
      <c r="AC594" s="31">
        <f t="shared" si="249"/>
        <v>81170.850000000006</v>
      </c>
      <c r="AD594" s="31">
        <v>100000</v>
      </c>
      <c r="AE594" s="31">
        <v>0</v>
      </c>
      <c r="AF594" s="34">
        <v>2021</v>
      </c>
      <c r="AG594" s="34">
        <v>2021</v>
      </c>
      <c r="AH594" s="35">
        <v>2021</v>
      </c>
      <c r="AT594" s="20" t="e">
        <f t="shared" si="246"/>
        <v>#N/A</v>
      </c>
    </row>
    <row r="595" spans="1:46" ht="61.5" x14ac:dyDescent="0.85">
      <c r="A595" s="20">
        <v>1</v>
      </c>
      <c r="B595" s="66">
        <f>SUBTOTAL(103,$A$567:A595)</f>
        <v>29</v>
      </c>
      <c r="C595" s="24" t="s">
        <v>571</v>
      </c>
      <c r="D595" s="31">
        <f t="shared" si="242"/>
        <v>4005106.45</v>
      </c>
      <c r="E595" s="31">
        <v>0</v>
      </c>
      <c r="F595" s="31">
        <v>0</v>
      </c>
      <c r="G595" s="31">
        <v>0</v>
      </c>
      <c r="H595" s="31">
        <v>0</v>
      </c>
      <c r="I595" s="31">
        <v>0</v>
      </c>
      <c r="J595" s="31">
        <v>0</v>
      </c>
      <c r="K595" s="33">
        <v>0</v>
      </c>
      <c r="L595" s="31">
        <v>0</v>
      </c>
      <c r="M595" s="31">
        <v>822</v>
      </c>
      <c r="N595" s="31">
        <v>3847395.52</v>
      </c>
      <c r="O595" s="31">
        <v>0</v>
      </c>
      <c r="P595" s="31">
        <v>0</v>
      </c>
      <c r="Q595" s="31">
        <v>0</v>
      </c>
      <c r="R595" s="31">
        <v>0</v>
      </c>
      <c r="S595" s="31">
        <v>0</v>
      </c>
      <c r="T595" s="31">
        <v>0</v>
      </c>
      <c r="U595" s="31">
        <v>0</v>
      </c>
      <c r="V595" s="31">
        <v>0</v>
      </c>
      <c r="W595" s="31">
        <v>0</v>
      </c>
      <c r="X595" s="31">
        <v>0</v>
      </c>
      <c r="Y595" s="31">
        <v>0</v>
      </c>
      <c r="Z595" s="31">
        <v>0</v>
      </c>
      <c r="AA595" s="31">
        <v>0</v>
      </c>
      <c r="AB595" s="31">
        <v>0</v>
      </c>
      <c r="AC595" s="31">
        <f t="shared" si="249"/>
        <v>57710.93</v>
      </c>
      <c r="AD595" s="31">
        <v>100000</v>
      </c>
      <c r="AE595" s="31">
        <v>0</v>
      </c>
      <c r="AF595" s="34">
        <v>2021</v>
      </c>
      <c r="AG595" s="34">
        <v>2021</v>
      </c>
      <c r="AH595" s="35">
        <v>2021</v>
      </c>
      <c r="AT595" s="20" t="e">
        <f t="shared" si="246"/>
        <v>#N/A</v>
      </c>
    </row>
    <row r="596" spans="1:46" ht="61.5" x14ac:dyDescent="0.85">
      <c r="A596" s="20">
        <v>1</v>
      </c>
      <c r="B596" s="66">
        <f>SUBTOTAL(103,$A$567:A596)</f>
        <v>30</v>
      </c>
      <c r="C596" s="24" t="s">
        <v>572</v>
      </c>
      <c r="D596" s="31">
        <f t="shared" si="242"/>
        <v>4412836.3</v>
      </c>
      <c r="E596" s="31">
        <v>0</v>
      </c>
      <c r="F596" s="31">
        <v>0</v>
      </c>
      <c r="G596" s="31">
        <v>0</v>
      </c>
      <c r="H596" s="31">
        <v>0</v>
      </c>
      <c r="I596" s="31">
        <v>0</v>
      </c>
      <c r="J596" s="31">
        <v>0</v>
      </c>
      <c r="K596" s="33">
        <v>0</v>
      </c>
      <c r="L596" s="31">
        <v>0</v>
      </c>
      <c r="M596" s="31">
        <v>897.3</v>
      </c>
      <c r="N596" s="31">
        <v>4199838.72</v>
      </c>
      <c r="O596" s="31">
        <v>0</v>
      </c>
      <c r="P596" s="31">
        <v>0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  <c r="V596" s="31">
        <v>0</v>
      </c>
      <c r="W596" s="31">
        <v>0</v>
      </c>
      <c r="X596" s="31">
        <v>0</v>
      </c>
      <c r="Y596" s="31">
        <v>0</v>
      </c>
      <c r="Z596" s="31">
        <v>0</v>
      </c>
      <c r="AA596" s="31">
        <v>0</v>
      </c>
      <c r="AB596" s="31">
        <v>0</v>
      </c>
      <c r="AC596" s="31">
        <f t="shared" si="249"/>
        <v>62997.58</v>
      </c>
      <c r="AD596" s="31">
        <v>150000</v>
      </c>
      <c r="AE596" s="31">
        <v>0</v>
      </c>
      <c r="AF596" s="34">
        <v>2021</v>
      </c>
      <c r="AG596" s="34">
        <v>2021</v>
      </c>
      <c r="AH596" s="35">
        <v>2021</v>
      </c>
      <c r="AT596" s="20" t="e">
        <f t="shared" si="246"/>
        <v>#N/A</v>
      </c>
    </row>
    <row r="597" spans="1:46" ht="61.5" x14ac:dyDescent="0.85">
      <c r="A597" s="20">
        <v>1</v>
      </c>
      <c r="B597" s="66">
        <f>SUBTOTAL(103,$A$567:A597)</f>
        <v>31</v>
      </c>
      <c r="C597" s="24" t="s">
        <v>573</v>
      </c>
      <c r="D597" s="31">
        <f t="shared" si="242"/>
        <v>4448638.5999999996</v>
      </c>
      <c r="E597" s="31">
        <v>0</v>
      </c>
      <c r="F597" s="31">
        <v>0</v>
      </c>
      <c r="G597" s="31">
        <v>0</v>
      </c>
      <c r="H597" s="31">
        <v>0</v>
      </c>
      <c r="I597" s="31">
        <v>0</v>
      </c>
      <c r="J597" s="31">
        <v>0</v>
      </c>
      <c r="K597" s="33">
        <v>0</v>
      </c>
      <c r="L597" s="31">
        <v>0</v>
      </c>
      <c r="M597" s="31">
        <v>0</v>
      </c>
      <c r="N597" s="31">
        <v>0</v>
      </c>
      <c r="O597" s="31">
        <v>0</v>
      </c>
      <c r="P597" s="31">
        <v>0</v>
      </c>
      <c r="Q597" s="31">
        <v>1047.25</v>
      </c>
      <c r="R597" s="31">
        <v>4284373</v>
      </c>
      <c r="S597" s="31">
        <v>0</v>
      </c>
      <c r="T597" s="31">
        <v>0</v>
      </c>
      <c r="U597" s="31">
        <v>0</v>
      </c>
      <c r="V597" s="31">
        <v>0</v>
      </c>
      <c r="W597" s="31">
        <v>0</v>
      </c>
      <c r="X597" s="31">
        <v>0</v>
      </c>
      <c r="Y597" s="31">
        <v>0</v>
      </c>
      <c r="Z597" s="31">
        <v>0</v>
      </c>
      <c r="AA597" s="31">
        <v>0</v>
      </c>
      <c r="AB597" s="31">
        <v>0</v>
      </c>
      <c r="AC597" s="31">
        <f t="shared" ref="AC597" si="250">ROUND(R597*1.5%,2)</f>
        <v>64265.599999999999</v>
      </c>
      <c r="AD597" s="31">
        <v>100000</v>
      </c>
      <c r="AE597" s="31">
        <v>0</v>
      </c>
      <c r="AF597" s="34">
        <v>2021</v>
      </c>
      <c r="AG597" s="34">
        <v>2021</v>
      </c>
      <c r="AH597" s="35">
        <v>2021</v>
      </c>
      <c r="AT597" s="20" t="e">
        <f t="shared" si="246"/>
        <v>#N/A</v>
      </c>
    </row>
    <row r="598" spans="1:46" ht="61.5" x14ac:dyDescent="0.85">
      <c r="A598" s="20">
        <v>1</v>
      </c>
      <c r="B598" s="66">
        <f>SUBTOTAL(103,$A$567:A598)</f>
        <v>32</v>
      </c>
      <c r="C598" s="24" t="s">
        <v>574</v>
      </c>
      <c r="D598" s="31">
        <f t="shared" si="242"/>
        <v>2397304.5699999998</v>
      </c>
      <c r="E598" s="31">
        <v>0</v>
      </c>
      <c r="F598" s="31">
        <v>0</v>
      </c>
      <c r="G598" s="31">
        <v>0</v>
      </c>
      <c r="H598" s="31">
        <v>0</v>
      </c>
      <c r="I598" s="31">
        <v>0</v>
      </c>
      <c r="J598" s="31">
        <v>0</v>
      </c>
      <c r="K598" s="33">
        <v>0</v>
      </c>
      <c r="L598" s="31">
        <v>0</v>
      </c>
      <c r="M598" s="31">
        <v>485</v>
      </c>
      <c r="N598" s="31">
        <v>2263354.2599999998</v>
      </c>
      <c r="O598" s="31">
        <v>0</v>
      </c>
      <c r="P598" s="31">
        <v>0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0</v>
      </c>
      <c r="W598" s="31">
        <v>0</v>
      </c>
      <c r="X598" s="31">
        <v>0</v>
      </c>
      <c r="Y598" s="31">
        <v>0</v>
      </c>
      <c r="Z598" s="31">
        <v>0</v>
      </c>
      <c r="AA598" s="31">
        <v>0</v>
      </c>
      <c r="AB598" s="31">
        <v>0</v>
      </c>
      <c r="AC598" s="31">
        <f t="shared" ref="AC598:AC599" si="251">ROUND(N598*1.5%,2)</f>
        <v>33950.31</v>
      </c>
      <c r="AD598" s="31">
        <v>100000</v>
      </c>
      <c r="AE598" s="31">
        <v>0</v>
      </c>
      <c r="AF598" s="34">
        <v>2021</v>
      </c>
      <c r="AG598" s="34">
        <v>2021</v>
      </c>
      <c r="AH598" s="35">
        <v>2021</v>
      </c>
      <c r="AT598" s="20" t="e">
        <f t="shared" si="246"/>
        <v>#N/A</v>
      </c>
    </row>
    <row r="599" spans="1:46" ht="61.5" x14ac:dyDescent="0.85">
      <c r="A599" s="20">
        <v>1</v>
      </c>
      <c r="B599" s="66">
        <f>SUBTOTAL(103,$A$567:A599)</f>
        <v>33</v>
      </c>
      <c r="C599" s="24" t="s">
        <v>575</v>
      </c>
      <c r="D599" s="31">
        <f t="shared" si="242"/>
        <v>2564514.5199999996</v>
      </c>
      <c r="E599" s="31">
        <v>0</v>
      </c>
      <c r="F599" s="31">
        <v>0</v>
      </c>
      <c r="G599" s="31">
        <v>0</v>
      </c>
      <c r="H599" s="31">
        <v>0</v>
      </c>
      <c r="I599" s="31">
        <v>0</v>
      </c>
      <c r="J599" s="31">
        <v>0</v>
      </c>
      <c r="K599" s="33">
        <v>0</v>
      </c>
      <c r="L599" s="31">
        <v>0</v>
      </c>
      <c r="M599" s="31">
        <v>606</v>
      </c>
      <c r="N599" s="31">
        <v>2425477.84</v>
      </c>
      <c r="O599" s="31">
        <v>0</v>
      </c>
      <c r="P599" s="31">
        <v>0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0</v>
      </c>
      <c r="W599" s="31">
        <v>0</v>
      </c>
      <c r="X599" s="31">
        <v>0</v>
      </c>
      <c r="Y599" s="31">
        <v>0</v>
      </c>
      <c r="Z599" s="31">
        <v>0</v>
      </c>
      <c r="AA599" s="31">
        <v>0</v>
      </c>
      <c r="AB599" s="31">
        <v>0</v>
      </c>
      <c r="AC599" s="31">
        <f t="shared" si="251"/>
        <v>36382.17</v>
      </c>
      <c r="AD599" s="31">
        <v>102654.51</v>
      </c>
      <c r="AE599" s="31">
        <v>0</v>
      </c>
      <c r="AF599" s="34">
        <v>2021</v>
      </c>
      <c r="AG599" s="34">
        <v>2021</v>
      </c>
      <c r="AH599" s="35">
        <v>2021</v>
      </c>
      <c r="AT599" s="20" t="e">
        <f t="shared" si="246"/>
        <v>#N/A</v>
      </c>
    </row>
    <row r="600" spans="1:46" ht="61.5" x14ac:dyDescent="0.85">
      <c r="A600" s="20">
        <v>1</v>
      </c>
      <c r="B600" s="66">
        <f>SUBTOTAL(103,$A$567:A600)</f>
        <v>34</v>
      </c>
      <c r="C600" s="24" t="s">
        <v>1157</v>
      </c>
      <c r="D600" s="31">
        <f t="shared" si="242"/>
        <v>7813143.0999999996</v>
      </c>
      <c r="E600" s="31">
        <v>0</v>
      </c>
      <c r="F600" s="31">
        <v>0</v>
      </c>
      <c r="G600" s="31">
        <v>0</v>
      </c>
      <c r="H600" s="31">
        <v>0</v>
      </c>
      <c r="I600" s="31">
        <v>0</v>
      </c>
      <c r="J600" s="31">
        <v>0</v>
      </c>
      <c r="K600" s="33">
        <v>4</v>
      </c>
      <c r="L600" s="31">
        <v>7693143.0999999996</v>
      </c>
      <c r="M600" s="31">
        <v>0</v>
      </c>
      <c r="N600" s="31">
        <v>0</v>
      </c>
      <c r="O600" s="31">
        <v>0</v>
      </c>
      <c r="P600" s="31">
        <v>0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0</v>
      </c>
      <c r="W600" s="31">
        <v>0</v>
      </c>
      <c r="X600" s="31">
        <v>0</v>
      </c>
      <c r="Y600" s="31">
        <v>0</v>
      </c>
      <c r="Z600" s="31">
        <v>0</v>
      </c>
      <c r="AA600" s="31">
        <v>0</v>
      </c>
      <c r="AB600" s="31">
        <v>0</v>
      </c>
      <c r="AC600" s="31">
        <v>0</v>
      </c>
      <c r="AD600" s="31">
        <v>120000</v>
      </c>
      <c r="AE600" s="31">
        <v>0</v>
      </c>
      <c r="AF600" s="34">
        <v>2021</v>
      </c>
      <c r="AG600" s="34">
        <v>2021</v>
      </c>
      <c r="AH600" s="35" t="s">
        <v>274</v>
      </c>
    </row>
    <row r="601" spans="1:46" ht="61.5" x14ac:dyDescent="0.85">
      <c r="A601" s="20">
        <v>1</v>
      </c>
      <c r="B601" s="66">
        <f>SUBTOTAL(103,$A$567:A601)</f>
        <v>35</v>
      </c>
      <c r="C601" s="24" t="s">
        <v>576</v>
      </c>
      <c r="D601" s="31">
        <f t="shared" si="242"/>
        <v>2129444.67</v>
      </c>
      <c r="E601" s="31">
        <v>0</v>
      </c>
      <c r="F601" s="31">
        <v>0</v>
      </c>
      <c r="G601" s="31">
        <v>0</v>
      </c>
      <c r="H601" s="31">
        <v>0</v>
      </c>
      <c r="I601" s="31">
        <v>0</v>
      </c>
      <c r="J601" s="31">
        <v>0</v>
      </c>
      <c r="K601" s="33">
        <v>1</v>
      </c>
      <c r="L601" s="31">
        <v>2079444.67</v>
      </c>
      <c r="M601" s="31">
        <v>0</v>
      </c>
      <c r="N601" s="31">
        <v>0</v>
      </c>
      <c r="O601" s="31">
        <v>0</v>
      </c>
      <c r="P601" s="31">
        <v>0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0</v>
      </c>
      <c r="W601" s="31">
        <v>0</v>
      </c>
      <c r="X601" s="31">
        <v>0</v>
      </c>
      <c r="Y601" s="31">
        <v>0</v>
      </c>
      <c r="Z601" s="31">
        <v>0</v>
      </c>
      <c r="AA601" s="31">
        <v>0</v>
      </c>
      <c r="AB601" s="31">
        <v>0</v>
      </c>
      <c r="AC601" s="31">
        <f t="shared" ref="AC601:AC603" si="252">ROUND(N601*1.5%,2)</f>
        <v>0</v>
      </c>
      <c r="AD601" s="31">
        <v>50000</v>
      </c>
      <c r="AE601" s="31">
        <v>0</v>
      </c>
      <c r="AF601" s="34">
        <v>2021</v>
      </c>
      <c r="AG601" s="34">
        <v>2021</v>
      </c>
      <c r="AH601" s="35" t="s">
        <v>274</v>
      </c>
      <c r="AT601" s="20" t="e">
        <f t="shared" ref="AT601:AT616" si="253">VLOOKUP(C601,AW:AX,2,FALSE)</f>
        <v>#N/A</v>
      </c>
    </row>
    <row r="602" spans="1:46" ht="61.5" x14ac:dyDescent="0.85">
      <c r="A602" s="20">
        <v>1</v>
      </c>
      <c r="B602" s="66">
        <f>SUBTOTAL(103,$A$567:A602)</f>
        <v>36</v>
      </c>
      <c r="C602" s="24" t="s">
        <v>577</v>
      </c>
      <c r="D602" s="31">
        <f t="shared" si="242"/>
        <v>5610855.6899999995</v>
      </c>
      <c r="E602" s="31">
        <v>0</v>
      </c>
      <c r="F602" s="31">
        <v>0</v>
      </c>
      <c r="G602" s="31">
        <v>0</v>
      </c>
      <c r="H602" s="31">
        <v>0</v>
      </c>
      <c r="I602" s="31">
        <v>0</v>
      </c>
      <c r="J602" s="31">
        <v>0</v>
      </c>
      <c r="K602" s="33">
        <v>0</v>
      </c>
      <c r="L602" s="31">
        <v>0</v>
      </c>
      <c r="M602" s="31">
        <v>1160</v>
      </c>
      <c r="N602" s="31">
        <v>5429414.4699999997</v>
      </c>
      <c r="O602" s="31">
        <v>0</v>
      </c>
      <c r="P602" s="31">
        <v>0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1">
        <v>0</v>
      </c>
      <c r="Y602" s="31">
        <v>0</v>
      </c>
      <c r="Z602" s="31">
        <v>0</v>
      </c>
      <c r="AA602" s="31">
        <v>0</v>
      </c>
      <c r="AB602" s="31">
        <v>0</v>
      </c>
      <c r="AC602" s="31">
        <f t="shared" si="252"/>
        <v>81441.22</v>
      </c>
      <c r="AD602" s="31">
        <v>100000</v>
      </c>
      <c r="AE602" s="31">
        <v>0</v>
      </c>
      <c r="AF602" s="34">
        <v>2021</v>
      </c>
      <c r="AG602" s="34">
        <v>2021</v>
      </c>
      <c r="AH602" s="35">
        <v>2021</v>
      </c>
      <c r="AT602" s="20" t="e">
        <f t="shared" si="253"/>
        <v>#N/A</v>
      </c>
    </row>
    <row r="603" spans="1:46" ht="61.5" x14ac:dyDescent="0.85">
      <c r="A603" s="20">
        <v>1</v>
      </c>
      <c r="B603" s="66">
        <f>SUBTOTAL(103,$A$567:A603)</f>
        <v>37</v>
      </c>
      <c r="C603" s="24" t="s">
        <v>578</v>
      </c>
      <c r="D603" s="31">
        <f t="shared" si="242"/>
        <v>2171781.17</v>
      </c>
      <c r="E603" s="31">
        <v>0</v>
      </c>
      <c r="F603" s="31">
        <v>0</v>
      </c>
      <c r="G603" s="31">
        <v>0</v>
      </c>
      <c r="H603" s="31">
        <v>0</v>
      </c>
      <c r="I603" s="31">
        <v>0</v>
      </c>
      <c r="J603" s="31">
        <v>0</v>
      </c>
      <c r="K603" s="33">
        <v>0</v>
      </c>
      <c r="L603" s="31">
        <v>0</v>
      </c>
      <c r="M603" s="31">
        <v>432.6</v>
      </c>
      <c r="N603" s="31">
        <v>2070720.36</v>
      </c>
      <c r="O603" s="31">
        <v>0</v>
      </c>
      <c r="P603" s="31">
        <v>0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v>0</v>
      </c>
      <c r="Y603" s="31">
        <v>0</v>
      </c>
      <c r="Z603" s="31">
        <v>0</v>
      </c>
      <c r="AA603" s="31">
        <v>0</v>
      </c>
      <c r="AB603" s="31">
        <v>0</v>
      </c>
      <c r="AC603" s="31">
        <f t="shared" si="252"/>
        <v>31060.81</v>
      </c>
      <c r="AD603" s="31">
        <v>70000</v>
      </c>
      <c r="AE603" s="31">
        <v>0</v>
      </c>
      <c r="AF603" s="34">
        <v>2021</v>
      </c>
      <c r="AG603" s="34">
        <v>2021</v>
      </c>
      <c r="AH603" s="35">
        <v>2021</v>
      </c>
      <c r="AT603" s="20" t="e">
        <f t="shared" si="253"/>
        <v>#N/A</v>
      </c>
    </row>
    <row r="604" spans="1:46" ht="61.5" x14ac:dyDescent="0.85">
      <c r="A604" s="20">
        <v>1</v>
      </c>
      <c r="B604" s="66">
        <f>SUBTOTAL(103,$A$567:A604)</f>
        <v>38</v>
      </c>
      <c r="C604" s="24" t="s">
        <v>579</v>
      </c>
      <c r="D604" s="31">
        <f t="shared" si="242"/>
        <v>763048.75</v>
      </c>
      <c r="E604" s="31">
        <v>0</v>
      </c>
      <c r="F604" s="31">
        <v>0</v>
      </c>
      <c r="G604" s="31">
        <v>0</v>
      </c>
      <c r="H604" s="31">
        <v>0</v>
      </c>
      <c r="I604" s="31">
        <v>0</v>
      </c>
      <c r="J604" s="31">
        <v>0</v>
      </c>
      <c r="K604" s="33">
        <v>0</v>
      </c>
      <c r="L604" s="31">
        <v>0</v>
      </c>
      <c r="M604" s="31">
        <v>185.8</v>
      </c>
      <c r="N604" s="31">
        <v>653250</v>
      </c>
      <c r="O604" s="31">
        <v>0</v>
      </c>
      <c r="P604" s="31">
        <v>0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0</v>
      </c>
      <c r="W604" s="31">
        <v>0</v>
      </c>
      <c r="X604" s="31">
        <v>0</v>
      </c>
      <c r="Y604" s="31">
        <v>0</v>
      </c>
      <c r="Z604" s="31">
        <v>0</v>
      </c>
      <c r="AA604" s="31">
        <v>0</v>
      </c>
      <c r="AB604" s="31">
        <v>0</v>
      </c>
      <c r="AC604" s="31">
        <f>ROUND(N604*1.5%,2)</f>
        <v>9798.75</v>
      </c>
      <c r="AD604" s="31">
        <v>100000</v>
      </c>
      <c r="AE604" s="31">
        <v>0</v>
      </c>
      <c r="AF604" s="34">
        <v>2021</v>
      </c>
      <c r="AG604" s="34">
        <v>2021</v>
      </c>
      <c r="AH604" s="35">
        <v>2021</v>
      </c>
      <c r="AT604" s="20" t="e">
        <f t="shared" si="253"/>
        <v>#N/A</v>
      </c>
    </row>
    <row r="605" spans="1:46" ht="61.5" x14ac:dyDescent="0.85">
      <c r="A605" s="20">
        <v>1</v>
      </c>
      <c r="B605" s="66">
        <f>SUBTOTAL(103,$A$567:A605)</f>
        <v>39</v>
      </c>
      <c r="C605" s="24" t="s">
        <v>580</v>
      </c>
      <c r="D605" s="31">
        <f t="shared" si="242"/>
        <v>2794940.58</v>
      </c>
      <c r="E605" s="31">
        <v>0</v>
      </c>
      <c r="F605" s="31">
        <v>0</v>
      </c>
      <c r="G605" s="31">
        <v>0</v>
      </c>
      <c r="H605" s="31">
        <v>0</v>
      </c>
      <c r="I605" s="31">
        <v>0</v>
      </c>
      <c r="J605" s="31">
        <v>0</v>
      </c>
      <c r="K605" s="33">
        <v>0</v>
      </c>
      <c r="L605" s="31">
        <v>0</v>
      </c>
      <c r="M605" s="31">
        <v>642</v>
      </c>
      <c r="N605" s="31">
        <v>2655113.87</v>
      </c>
      <c r="O605" s="31">
        <v>0</v>
      </c>
      <c r="P605" s="31">
        <v>0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0</v>
      </c>
      <c r="W605" s="31">
        <v>0</v>
      </c>
      <c r="X605" s="31">
        <v>0</v>
      </c>
      <c r="Y605" s="31">
        <v>0</v>
      </c>
      <c r="Z605" s="31">
        <v>0</v>
      </c>
      <c r="AA605" s="31">
        <v>0</v>
      </c>
      <c r="AB605" s="31">
        <v>0</v>
      </c>
      <c r="AC605" s="31">
        <f t="shared" ref="AC605:AC608" si="254">ROUND(N605*1.5%,2)</f>
        <v>39826.71</v>
      </c>
      <c r="AD605" s="31">
        <v>100000</v>
      </c>
      <c r="AE605" s="31">
        <v>0</v>
      </c>
      <c r="AF605" s="34">
        <v>2021</v>
      </c>
      <c r="AG605" s="34">
        <v>2021</v>
      </c>
      <c r="AH605" s="35">
        <v>2021</v>
      </c>
      <c r="AT605" s="20" t="e">
        <f t="shared" si="253"/>
        <v>#N/A</v>
      </c>
    </row>
    <row r="606" spans="1:46" ht="61.5" x14ac:dyDescent="0.85">
      <c r="A606" s="20">
        <v>1</v>
      </c>
      <c r="B606" s="66">
        <f>SUBTOTAL(103,$A$567:A606)</f>
        <v>40</v>
      </c>
      <c r="C606" s="24" t="s">
        <v>842</v>
      </c>
      <c r="D606" s="31">
        <f t="shared" si="242"/>
        <v>1584967.92</v>
      </c>
      <c r="E606" s="31">
        <v>0</v>
      </c>
      <c r="F606" s="31">
        <v>0</v>
      </c>
      <c r="G606" s="31">
        <v>0</v>
      </c>
      <c r="H606" s="31">
        <v>0</v>
      </c>
      <c r="I606" s="31">
        <v>0</v>
      </c>
      <c r="J606" s="31">
        <v>0</v>
      </c>
      <c r="K606" s="33">
        <v>0</v>
      </c>
      <c r="L606" s="31">
        <v>0</v>
      </c>
      <c r="M606" s="31">
        <v>300</v>
      </c>
      <c r="N606" s="31">
        <v>1492579.23</v>
      </c>
      <c r="O606" s="31">
        <v>0</v>
      </c>
      <c r="P606" s="31">
        <v>0</v>
      </c>
      <c r="Q606" s="31">
        <v>0</v>
      </c>
      <c r="R606" s="31">
        <v>0</v>
      </c>
      <c r="S606" s="31">
        <v>0</v>
      </c>
      <c r="T606" s="31">
        <v>0</v>
      </c>
      <c r="U606" s="31">
        <v>0</v>
      </c>
      <c r="V606" s="31">
        <v>0</v>
      </c>
      <c r="W606" s="31">
        <v>0</v>
      </c>
      <c r="X606" s="31">
        <v>0</v>
      </c>
      <c r="Y606" s="31">
        <v>0</v>
      </c>
      <c r="Z606" s="31">
        <v>0</v>
      </c>
      <c r="AA606" s="31">
        <v>0</v>
      </c>
      <c r="AB606" s="31">
        <v>0</v>
      </c>
      <c r="AC606" s="31">
        <f t="shared" si="254"/>
        <v>22388.69</v>
      </c>
      <c r="AD606" s="31">
        <v>70000</v>
      </c>
      <c r="AE606" s="31">
        <v>0</v>
      </c>
      <c r="AF606" s="34">
        <v>2021</v>
      </c>
      <c r="AG606" s="34">
        <v>2021</v>
      </c>
      <c r="AH606" s="35">
        <v>2021</v>
      </c>
      <c r="AT606" s="20" t="e">
        <f t="shared" si="253"/>
        <v>#N/A</v>
      </c>
    </row>
    <row r="607" spans="1:46" ht="61.5" x14ac:dyDescent="0.85">
      <c r="A607" s="20">
        <v>1</v>
      </c>
      <c r="B607" s="66">
        <f>SUBTOTAL(103,$A$567:A607)</f>
        <v>41</v>
      </c>
      <c r="C607" s="24" t="s">
        <v>581</v>
      </c>
      <c r="D607" s="31">
        <f t="shared" si="242"/>
        <v>11173348.710000001</v>
      </c>
      <c r="E607" s="31">
        <v>0</v>
      </c>
      <c r="F607" s="31">
        <v>0</v>
      </c>
      <c r="G607" s="31">
        <v>0</v>
      </c>
      <c r="H607" s="31">
        <v>0</v>
      </c>
      <c r="I607" s="31">
        <v>0</v>
      </c>
      <c r="J607" s="31">
        <v>0</v>
      </c>
      <c r="K607" s="33">
        <v>0</v>
      </c>
      <c r="L607" s="31">
        <v>0</v>
      </c>
      <c r="M607" s="31">
        <v>2300</v>
      </c>
      <c r="N607" s="31">
        <v>10909703.16</v>
      </c>
      <c r="O607" s="31">
        <v>0</v>
      </c>
      <c r="P607" s="31">
        <v>0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0</v>
      </c>
      <c r="W607" s="31">
        <v>0</v>
      </c>
      <c r="X607" s="31">
        <v>0</v>
      </c>
      <c r="Y607" s="31">
        <v>0</v>
      </c>
      <c r="Z607" s="31">
        <v>0</v>
      </c>
      <c r="AA607" s="31">
        <v>0</v>
      </c>
      <c r="AB607" s="31">
        <v>0</v>
      </c>
      <c r="AC607" s="31">
        <f t="shared" si="254"/>
        <v>163645.54999999999</v>
      </c>
      <c r="AD607" s="31">
        <v>100000</v>
      </c>
      <c r="AE607" s="31">
        <v>0</v>
      </c>
      <c r="AF607" s="34">
        <v>2021</v>
      </c>
      <c r="AG607" s="34">
        <v>2021</v>
      </c>
      <c r="AH607" s="35">
        <v>2021</v>
      </c>
      <c r="AT607" s="20" t="e">
        <f t="shared" si="253"/>
        <v>#N/A</v>
      </c>
    </row>
    <row r="608" spans="1:46" ht="61.5" x14ac:dyDescent="0.85">
      <c r="A608" s="20">
        <v>1</v>
      </c>
      <c r="B608" s="66">
        <f>SUBTOTAL(103,$A$567:A608)</f>
        <v>42</v>
      </c>
      <c r="C608" s="24" t="s">
        <v>582</v>
      </c>
      <c r="D608" s="31">
        <f t="shared" si="242"/>
        <v>5877399.3300000001</v>
      </c>
      <c r="E608" s="31">
        <v>0</v>
      </c>
      <c r="F608" s="31">
        <v>0</v>
      </c>
      <c r="G608" s="31">
        <v>0</v>
      </c>
      <c r="H608" s="31">
        <v>0</v>
      </c>
      <c r="I608" s="31">
        <v>0</v>
      </c>
      <c r="J608" s="31">
        <v>0</v>
      </c>
      <c r="K608" s="33">
        <v>0</v>
      </c>
      <c r="L608" s="31">
        <v>0</v>
      </c>
      <c r="M608" s="31">
        <v>1200</v>
      </c>
      <c r="N608" s="31">
        <v>5692019.04</v>
      </c>
      <c r="O608" s="31">
        <v>0</v>
      </c>
      <c r="P608" s="31">
        <v>0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0</v>
      </c>
      <c r="W608" s="31">
        <v>0</v>
      </c>
      <c r="X608" s="31">
        <v>0</v>
      </c>
      <c r="Y608" s="31">
        <v>0</v>
      </c>
      <c r="Z608" s="31">
        <v>0</v>
      </c>
      <c r="AA608" s="31">
        <v>0</v>
      </c>
      <c r="AB608" s="31">
        <v>0</v>
      </c>
      <c r="AC608" s="31">
        <f t="shared" si="254"/>
        <v>85380.29</v>
      </c>
      <c r="AD608" s="31">
        <v>100000</v>
      </c>
      <c r="AE608" s="31">
        <v>0</v>
      </c>
      <c r="AF608" s="34">
        <v>2021</v>
      </c>
      <c r="AG608" s="34">
        <v>2021</v>
      </c>
      <c r="AH608" s="35">
        <v>2021</v>
      </c>
      <c r="AT608" s="20" t="e">
        <f t="shared" si="253"/>
        <v>#N/A</v>
      </c>
    </row>
    <row r="609" spans="1:46" ht="61.5" x14ac:dyDescent="0.85">
      <c r="A609" s="20">
        <v>1</v>
      </c>
      <c r="B609" s="66">
        <f>SUBTOTAL(103,$A$567:A609)</f>
        <v>43</v>
      </c>
      <c r="C609" s="24" t="s">
        <v>583</v>
      </c>
      <c r="D609" s="31">
        <f t="shared" si="242"/>
        <v>2102735.67</v>
      </c>
      <c r="E609" s="31">
        <v>0</v>
      </c>
      <c r="F609" s="31">
        <v>0</v>
      </c>
      <c r="G609" s="31">
        <v>0</v>
      </c>
      <c r="H609" s="31">
        <v>0</v>
      </c>
      <c r="I609" s="31">
        <v>0</v>
      </c>
      <c r="J609" s="31">
        <v>0</v>
      </c>
      <c r="K609" s="33">
        <v>0</v>
      </c>
      <c r="L609" s="31">
        <v>0</v>
      </c>
      <c r="M609" s="31">
        <v>483</v>
      </c>
      <c r="N609" s="31">
        <v>1973138.59</v>
      </c>
      <c r="O609" s="31">
        <v>0</v>
      </c>
      <c r="P609" s="31">
        <v>0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1">
        <v>0</v>
      </c>
      <c r="Y609" s="31">
        <v>0</v>
      </c>
      <c r="Z609" s="31">
        <v>0</v>
      </c>
      <c r="AA609" s="31">
        <v>0</v>
      </c>
      <c r="AB609" s="31">
        <v>0</v>
      </c>
      <c r="AC609" s="31">
        <f>ROUND(N609*1.5%,2)</f>
        <v>29597.08</v>
      </c>
      <c r="AD609" s="31">
        <v>100000</v>
      </c>
      <c r="AE609" s="31">
        <v>0</v>
      </c>
      <c r="AF609" s="34">
        <v>2021</v>
      </c>
      <c r="AG609" s="34">
        <v>2021</v>
      </c>
      <c r="AH609" s="35">
        <v>2021</v>
      </c>
      <c r="AT609" s="20" t="e">
        <f t="shared" si="253"/>
        <v>#N/A</v>
      </c>
    </row>
    <row r="610" spans="1:46" ht="61.5" x14ac:dyDescent="0.85">
      <c r="A610" s="20">
        <v>1</v>
      </c>
      <c r="B610" s="66">
        <f>SUBTOTAL(103,$A$567:A610)</f>
        <v>44</v>
      </c>
      <c r="C610" s="24" t="s">
        <v>584</v>
      </c>
      <c r="D610" s="31">
        <f t="shared" si="242"/>
        <v>2323274.2000000002</v>
      </c>
      <c r="E610" s="31">
        <v>0</v>
      </c>
      <c r="F610" s="31">
        <v>0</v>
      </c>
      <c r="G610" s="31">
        <v>0</v>
      </c>
      <c r="H610" s="31">
        <v>0</v>
      </c>
      <c r="I610" s="31">
        <v>0</v>
      </c>
      <c r="J610" s="31">
        <v>0</v>
      </c>
      <c r="K610" s="33">
        <v>0</v>
      </c>
      <c r="L610" s="31">
        <v>0</v>
      </c>
      <c r="M610" s="31">
        <v>506.2</v>
      </c>
      <c r="N610" s="31">
        <v>2190417.9300000002</v>
      </c>
      <c r="O610" s="31">
        <v>0</v>
      </c>
      <c r="P610" s="31">
        <v>0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1">
        <v>0</v>
      </c>
      <c r="Y610" s="31">
        <v>0</v>
      </c>
      <c r="Z610" s="31">
        <v>0</v>
      </c>
      <c r="AA610" s="31">
        <v>0</v>
      </c>
      <c r="AB610" s="31">
        <v>0</v>
      </c>
      <c r="AC610" s="31">
        <f>ROUND(N610*1.5%,2)</f>
        <v>32856.269999999997</v>
      </c>
      <c r="AD610" s="31">
        <v>100000</v>
      </c>
      <c r="AE610" s="31">
        <v>0</v>
      </c>
      <c r="AF610" s="34">
        <v>2021</v>
      </c>
      <c r="AG610" s="34">
        <v>2021</v>
      </c>
      <c r="AH610" s="35">
        <v>2021</v>
      </c>
      <c r="AT610" s="20" t="e">
        <f t="shared" si="253"/>
        <v>#N/A</v>
      </c>
    </row>
    <row r="611" spans="1:46" ht="61.5" x14ac:dyDescent="0.85">
      <c r="A611" s="20">
        <v>1</v>
      </c>
      <c r="B611" s="66">
        <f>SUBTOTAL(103,$A$567:A611)</f>
        <v>45</v>
      </c>
      <c r="C611" s="24" t="s">
        <v>585</v>
      </c>
      <c r="D611" s="31">
        <f t="shared" si="242"/>
        <v>4748603.68</v>
      </c>
      <c r="E611" s="31">
        <v>0</v>
      </c>
      <c r="F611" s="31">
        <v>0</v>
      </c>
      <c r="G611" s="31">
        <v>0</v>
      </c>
      <c r="H611" s="31">
        <v>0</v>
      </c>
      <c r="I611" s="31">
        <v>0</v>
      </c>
      <c r="J611" s="31">
        <v>0</v>
      </c>
      <c r="K611" s="33">
        <v>0</v>
      </c>
      <c r="L611" s="31">
        <v>0</v>
      </c>
      <c r="M611" s="31">
        <v>960</v>
      </c>
      <c r="N611" s="31">
        <v>4579905.0999999996</v>
      </c>
      <c r="O611" s="31">
        <v>0</v>
      </c>
      <c r="P611" s="31">
        <v>0</v>
      </c>
      <c r="Q611" s="31">
        <v>0</v>
      </c>
      <c r="R611" s="31">
        <v>0</v>
      </c>
      <c r="S611" s="31">
        <v>0</v>
      </c>
      <c r="T611" s="31">
        <v>0</v>
      </c>
      <c r="U611" s="31">
        <v>0</v>
      </c>
      <c r="V611" s="31">
        <v>0</v>
      </c>
      <c r="W611" s="31">
        <v>0</v>
      </c>
      <c r="X611" s="31">
        <v>0</v>
      </c>
      <c r="Y611" s="31">
        <v>0</v>
      </c>
      <c r="Z611" s="31">
        <v>0</v>
      </c>
      <c r="AA611" s="31">
        <v>0</v>
      </c>
      <c r="AB611" s="31">
        <v>0</v>
      </c>
      <c r="AC611" s="31">
        <f t="shared" ref="AC611:AC679" si="255">ROUND(N611*1.5%,2)</f>
        <v>68698.58</v>
      </c>
      <c r="AD611" s="31">
        <v>100000</v>
      </c>
      <c r="AE611" s="31">
        <v>0</v>
      </c>
      <c r="AF611" s="34">
        <v>2021</v>
      </c>
      <c r="AG611" s="34">
        <v>2021</v>
      </c>
      <c r="AH611" s="35">
        <v>2021</v>
      </c>
      <c r="AT611" s="20" t="e">
        <f t="shared" si="253"/>
        <v>#N/A</v>
      </c>
    </row>
    <row r="612" spans="1:46" ht="61.5" x14ac:dyDescent="0.85">
      <c r="A612" s="20">
        <v>1</v>
      </c>
      <c r="B612" s="66">
        <f>SUBTOTAL(103,$A$567:A612)</f>
        <v>46</v>
      </c>
      <c r="C612" s="24" t="s">
        <v>586</v>
      </c>
      <c r="D612" s="31">
        <f t="shared" si="242"/>
        <v>3192730.04</v>
      </c>
      <c r="E612" s="31">
        <v>0</v>
      </c>
      <c r="F612" s="31">
        <v>0</v>
      </c>
      <c r="G612" s="31">
        <v>0</v>
      </c>
      <c r="H612" s="31">
        <v>0</v>
      </c>
      <c r="I612" s="31">
        <v>0</v>
      </c>
      <c r="J612" s="31">
        <v>0</v>
      </c>
      <c r="K612" s="33">
        <v>0</v>
      </c>
      <c r="L612" s="31">
        <v>0</v>
      </c>
      <c r="M612" s="31">
        <v>651</v>
      </c>
      <c r="N612" s="31">
        <v>3047024.67</v>
      </c>
      <c r="O612" s="31">
        <v>0</v>
      </c>
      <c r="P612" s="31">
        <v>0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0</v>
      </c>
      <c r="W612" s="31">
        <v>0</v>
      </c>
      <c r="X612" s="31">
        <v>0</v>
      </c>
      <c r="Y612" s="31">
        <v>0</v>
      </c>
      <c r="Z612" s="31">
        <v>0</v>
      </c>
      <c r="AA612" s="31">
        <v>0</v>
      </c>
      <c r="AB612" s="31">
        <v>0</v>
      </c>
      <c r="AC612" s="31">
        <f t="shared" si="255"/>
        <v>45705.37</v>
      </c>
      <c r="AD612" s="31">
        <v>100000</v>
      </c>
      <c r="AE612" s="31">
        <v>0</v>
      </c>
      <c r="AF612" s="34">
        <v>2021</v>
      </c>
      <c r="AG612" s="34">
        <v>2021</v>
      </c>
      <c r="AH612" s="35">
        <v>2021</v>
      </c>
      <c r="AT612" s="20" t="e">
        <f t="shared" si="253"/>
        <v>#N/A</v>
      </c>
    </row>
    <row r="613" spans="1:46" ht="61.5" x14ac:dyDescent="0.85">
      <c r="A613" s="20">
        <v>1</v>
      </c>
      <c r="B613" s="66">
        <f>SUBTOTAL(103,$A$567:A613)</f>
        <v>47</v>
      </c>
      <c r="C613" s="24" t="s">
        <v>587</v>
      </c>
      <c r="D613" s="31">
        <f t="shared" si="242"/>
        <v>1265842.2</v>
      </c>
      <c r="E613" s="31">
        <v>0</v>
      </c>
      <c r="F613" s="31">
        <v>0</v>
      </c>
      <c r="G613" s="31">
        <v>0</v>
      </c>
      <c r="H613" s="31">
        <v>0</v>
      </c>
      <c r="I613" s="31">
        <v>0</v>
      </c>
      <c r="J613" s="31">
        <v>0</v>
      </c>
      <c r="K613" s="33">
        <v>0</v>
      </c>
      <c r="L613" s="31">
        <v>0</v>
      </c>
      <c r="M613" s="31">
        <v>287</v>
      </c>
      <c r="N613" s="31">
        <v>1148613</v>
      </c>
      <c r="O613" s="31">
        <v>0</v>
      </c>
      <c r="P613" s="31">
        <v>0</v>
      </c>
      <c r="Q613" s="31">
        <v>0</v>
      </c>
      <c r="R613" s="31">
        <v>0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v>0</v>
      </c>
      <c r="Y613" s="31">
        <v>0</v>
      </c>
      <c r="Z613" s="31">
        <v>0</v>
      </c>
      <c r="AA613" s="31">
        <v>0</v>
      </c>
      <c r="AB613" s="31">
        <v>0</v>
      </c>
      <c r="AC613" s="31">
        <f t="shared" si="255"/>
        <v>17229.2</v>
      </c>
      <c r="AD613" s="31">
        <v>100000</v>
      </c>
      <c r="AE613" s="31">
        <v>0</v>
      </c>
      <c r="AF613" s="34">
        <v>2021</v>
      </c>
      <c r="AG613" s="34">
        <v>2021</v>
      </c>
      <c r="AH613" s="35">
        <v>2021</v>
      </c>
      <c r="AT613" s="20" t="e">
        <f t="shared" si="253"/>
        <v>#N/A</v>
      </c>
    </row>
    <row r="614" spans="1:46" ht="61.5" x14ac:dyDescent="0.85">
      <c r="A614" s="20">
        <v>1</v>
      </c>
      <c r="B614" s="66">
        <f>SUBTOTAL(103,$A$567:A614)</f>
        <v>48</v>
      </c>
      <c r="C614" s="24" t="s">
        <v>588</v>
      </c>
      <c r="D614" s="31">
        <f t="shared" si="242"/>
        <v>3576070.0900000003</v>
      </c>
      <c r="E614" s="31">
        <v>0</v>
      </c>
      <c r="F614" s="31">
        <v>0</v>
      </c>
      <c r="G614" s="31">
        <v>0</v>
      </c>
      <c r="H614" s="31">
        <v>0</v>
      </c>
      <c r="I614" s="31">
        <v>0</v>
      </c>
      <c r="J614" s="31">
        <v>0</v>
      </c>
      <c r="K614" s="33">
        <v>0</v>
      </c>
      <c r="L614" s="31">
        <v>0</v>
      </c>
      <c r="M614" s="31">
        <v>722</v>
      </c>
      <c r="N614" s="31">
        <v>3424699.6</v>
      </c>
      <c r="O614" s="31">
        <v>0</v>
      </c>
      <c r="P614" s="31">
        <v>0</v>
      </c>
      <c r="Q614" s="31">
        <v>0</v>
      </c>
      <c r="R614" s="31">
        <v>0</v>
      </c>
      <c r="S614" s="31">
        <v>0</v>
      </c>
      <c r="T614" s="31">
        <v>0</v>
      </c>
      <c r="U614" s="31">
        <v>0</v>
      </c>
      <c r="V614" s="31">
        <v>0</v>
      </c>
      <c r="W614" s="31">
        <v>0</v>
      </c>
      <c r="X614" s="31">
        <v>0</v>
      </c>
      <c r="Y614" s="31">
        <v>0</v>
      </c>
      <c r="Z614" s="31">
        <v>0</v>
      </c>
      <c r="AA614" s="31">
        <v>0</v>
      </c>
      <c r="AB614" s="31">
        <v>0</v>
      </c>
      <c r="AC614" s="31">
        <f t="shared" si="255"/>
        <v>51370.49</v>
      </c>
      <c r="AD614" s="31">
        <v>100000</v>
      </c>
      <c r="AE614" s="31">
        <v>0</v>
      </c>
      <c r="AF614" s="34">
        <v>2021</v>
      </c>
      <c r="AG614" s="34">
        <v>2021</v>
      </c>
      <c r="AH614" s="35">
        <v>2021</v>
      </c>
      <c r="AT614" s="20" t="e">
        <f t="shared" si="253"/>
        <v>#N/A</v>
      </c>
    </row>
    <row r="615" spans="1:46" ht="61.5" x14ac:dyDescent="0.85">
      <c r="A615" s="20">
        <v>1</v>
      </c>
      <c r="B615" s="66">
        <f>SUBTOTAL(103,$A$567:A615)</f>
        <v>49</v>
      </c>
      <c r="C615" s="24" t="s">
        <v>589</v>
      </c>
      <c r="D615" s="31">
        <f t="shared" si="242"/>
        <v>8216874.9699999997</v>
      </c>
      <c r="E615" s="31">
        <v>0</v>
      </c>
      <c r="F615" s="31">
        <v>0</v>
      </c>
      <c r="G615" s="31">
        <v>0</v>
      </c>
      <c r="H615" s="31">
        <v>0</v>
      </c>
      <c r="I615" s="31">
        <v>0</v>
      </c>
      <c r="J615" s="31">
        <v>0</v>
      </c>
      <c r="K615" s="33">
        <v>0</v>
      </c>
      <c r="L615" s="31">
        <v>0</v>
      </c>
      <c r="M615" s="31">
        <v>1688</v>
      </c>
      <c r="N615" s="31">
        <v>8006773.3700000001</v>
      </c>
      <c r="O615" s="31">
        <v>0</v>
      </c>
      <c r="P615" s="31">
        <v>0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0</v>
      </c>
      <c r="W615" s="31">
        <v>0</v>
      </c>
      <c r="X615" s="31">
        <v>0</v>
      </c>
      <c r="Y615" s="31">
        <v>0</v>
      </c>
      <c r="Z615" s="31">
        <v>0</v>
      </c>
      <c r="AA615" s="31">
        <v>0</v>
      </c>
      <c r="AB615" s="31">
        <v>0</v>
      </c>
      <c r="AC615" s="31">
        <f t="shared" si="255"/>
        <v>120101.6</v>
      </c>
      <c r="AD615" s="31">
        <v>90000</v>
      </c>
      <c r="AE615" s="31">
        <v>0</v>
      </c>
      <c r="AF615" s="34">
        <v>2021</v>
      </c>
      <c r="AG615" s="34">
        <v>2021</v>
      </c>
      <c r="AH615" s="35">
        <v>2021</v>
      </c>
      <c r="AT615" s="20" t="e">
        <f t="shared" si="253"/>
        <v>#N/A</v>
      </c>
    </row>
    <row r="616" spans="1:46" ht="61.5" x14ac:dyDescent="0.85">
      <c r="A616" s="20">
        <v>1</v>
      </c>
      <c r="B616" s="66">
        <f>SUBTOTAL(103,$A$567:A616)</f>
        <v>50</v>
      </c>
      <c r="C616" s="24" t="s">
        <v>590</v>
      </c>
      <c r="D616" s="31">
        <f t="shared" si="242"/>
        <v>5458332.7699999996</v>
      </c>
      <c r="E616" s="31">
        <v>0</v>
      </c>
      <c r="F616" s="31">
        <v>0</v>
      </c>
      <c r="G616" s="31">
        <v>0</v>
      </c>
      <c r="H616" s="31">
        <v>0</v>
      </c>
      <c r="I616" s="31">
        <v>0</v>
      </c>
      <c r="J616" s="31">
        <v>0</v>
      </c>
      <c r="K616" s="33">
        <v>0</v>
      </c>
      <c r="L616" s="31">
        <v>0</v>
      </c>
      <c r="M616" s="31">
        <v>1130</v>
      </c>
      <c r="N616" s="31">
        <v>5288997.8</v>
      </c>
      <c r="O616" s="31">
        <v>0</v>
      </c>
      <c r="P616" s="31">
        <v>0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0</v>
      </c>
      <c r="W616" s="31">
        <v>0</v>
      </c>
      <c r="X616" s="31">
        <v>0</v>
      </c>
      <c r="Y616" s="31">
        <v>0</v>
      </c>
      <c r="Z616" s="31">
        <v>0</v>
      </c>
      <c r="AA616" s="31">
        <v>0</v>
      </c>
      <c r="AB616" s="31">
        <v>0</v>
      </c>
      <c r="AC616" s="31">
        <f t="shared" si="255"/>
        <v>79334.97</v>
      </c>
      <c r="AD616" s="31">
        <v>90000</v>
      </c>
      <c r="AE616" s="31">
        <v>0</v>
      </c>
      <c r="AF616" s="34">
        <v>2021</v>
      </c>
      <c r="AG616" s="34">
        <v>2021</v>
      </c>
      <c r="AH616" s="35">
        <v>2021</v>
      </c>
      <c r="AT616" s="20" t="e">
        <f t="shared" si="253"/>
        <v>#N/A</v>
      </c>
    </row>
    <row r="617" spans="1:46" ht="61.5" x14ac:dyDescent="0.85">
      <c r="A617" s="20">
        <v>1</v>
      </c>
      <c r="B617" s="66">
        <f>SUBTOTAL(103,$A$567:A617)</f>
        <v>51</v>
      </c>
      <c r="C617" s="24" t="s">
        <v>1454</v>
      </c>
      <c r="D617" s="31">
        <f t="shared" si="242"/>
        <v>3614770.42</v>
      </c>
      <c r="E617" s="31">
        <v>0</v>
      </c>
      <c r="F617" s="31">
        <v>0</v>
      </c>
      <c r="G617" s="31">
        <v>0</v>
      </c>
      <c r="H617" s="31">
        <v>0</v>
      </c>
      <c r="I617" s="31">
        <v>0</v>
      </c>
      <c r="J617" s="31">
        <v>0</v>
      </c>
      <c r="K617" s="33">
        <v>0</v>
      </c>
      <c r="L617" s="31">
        <v>0</v>
      </c>
      <c r="M617" s="31">
        <v>756</v>
      </c>
      <c r="N617" s="31">
        <v>3462828</v>
      </c>
      <c r="O617" s="31">
        <v>0</v>
      </c>
      <c r="P617" s="31">
        <v>0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0</v>
      </c>
      <c r="W617" s="31">
        <v>0</v>
      </c>
      <c r="X617" s="31">
        <v>0</v>
      </c>
      <c r="Y617" s="31">
        <v>0</v>
      </c>
      <c r="Z617" s="31">
        <v>0</v>
      </c>
      <c r="AA617" s="31">
        <v>0</v>
      </c>
      <c r="AB617" s="31">
        <v>0</v>
      </c>
      <c r="AC617" s="31">
        <v>51942.42</v>
      </c>
      <c r="AD617" s="31">
        <v>100000</v>
      </c>
      <c r="AE617" s="31">
        <v>0</v>
      </c>
      <c r="AF617" s="34">
        <v>2021</v>
      </c>
      <c r="AG617" s="34">
        <v>2021</v>
      </c>
      <c r="AH617" s="35">
        <v>2021</v>
      </c>
    </row>
    <row r="618" spans="1:46" ht="61.5" x14ac:dyDescent="0.85">
      <c r="A618" s="20">
        <v>1</v>
      </c>
      <c r="B618" s="66">
        <f>SUBTOTAL(103,$A$567:A618)</f>
        <v>52</v>
      </c>
      <c r="C618" s="24" t="s">
        <v>1455</v>
      </c>
      <c r="D618" s="31">
        <f t="shared" si="242"/>
        <v>3214943.65</v>
      </c>
      <c r="E618" s="31">
        <v>0</v>
      </c>
      <c r="F618" s="31">
        <v>0</v>
      </c>
      <c r="G618" s="31">
        <v>0</v>
      </c>
      <c r="H618" s="31">
        <v>0</v>
      </c>
      <c r="I618" s="31">
        <v>0</v>
      </c>
      <c r="J618" s="31">
        <v>0</v>
      </c>
      <c r="K618" s="33">
        <v>0</v>
      </c>
      <c r="L618" s="31">
        <v>0</v>
      </c>
      <c r="M618" s="31">
        <v>670</v>
      </c>
      <c r="N618" s="31">
        <v>3068910</v>
      </c>
      <c r="O618" s="31">
        <v>0</v>
      </c>
      <c r="P618" s="31">
        <v>0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0</v>
      </c>
      <c r="W618" s="31">
        <v>0</v>
      </c>
      <c r="X618" s="31">
        <v>0</v>
      </c>
      <c r="Y618" s="31">
        <v>0</v>
      </c>
      <c r="Z618" s="31">
        <v>0</v>
      </c>
      <c r="AA618" s="31">
        <v>0</v>
      </c>
      <c r="AB618" s="31">
        <v>0</v>
      </c>
      <c r="AC618" s="31">
        <v>46033.65</v>
      </c>
      <c r="AD618" s="31">
        <v>100000</v>
      </c>
      <c r="AE618" s="31">
        <v>0</v>
      </c>
      <c r="AF618" s="34">
        <v>2021</v>
      </c>
      <c r="AG618" s="34">
        <v>2021</v>
      </c>
      <c r="AH618" s="35">
        <v>2021</v>
      </c>
    </row>
    <row r="619" spans="1:46" ht="61.5" x14ac:dyDescent="0.85">
      <c r="A619" s="20">
        <v>1</v>
      </c>
      <c r="B619" s="66">
        <f>SUBTOTAL(103,$A$567:A619)</f>
        <v>53</v>
      </c>
      <c r="C619" s="24" t="s">
        <v>1456</v>
      </c>
      <c r="D619" s="31">
        <f t="shared" si="242"/>
        <v>1335035.1000000001</v>
      </c>
      <c r="E619" s="31">
        <v>0</v>
      </c>
      <c r="F619" s="31">
        <v>0</v>
      </c>
      <c r="G619" s="31">
        <v>0</v>
      </c>
      <c r="H619" s="31">
        <v>0</v>
      </c>
      <c r="I619" s="31">
        <v>0</v>
      </c>
      <c r="J619" s="31">
        <v>0</v>
      </c>
      <c r="K619" s="33">
        <v>0</v>
      </c>
      <c r="L619" s="31">
        <v>0</v>
      </c>
      <c r="M619" s="31">
        <v>272.05</v>
      </c>
      <c r="N619" s="31">
        <v>1246340</v>
      </c>
      <c r="O619" s="31">
        <v>0</v>
      </c>
      <c r="P619" s="31">
        <v>0</v>
      </c>
      <c r="Q619" s="31">
        <v>0</v>
      </c>
      <c r="R619" s="31">
        <v>0</v>
      </c>
      <c r="S619" s="31">
        <v>0</v>
      </c>
      <c r="T619" s="31">
        <v>0</v>
      </c>
      <c r="U619" s="31">
        <v>0</v>
      </c>
      <c r="V619" s="31">
        <v>0</v>
      </c>
      <c r="W619" s="31">
        <v>0</v>
      </c>
      <c r="X619" s="31">
        <v>0</v>
      </c>
      <c r="Y619" s="31">
        <v>0</v>
      </c>
      <c r="Z619" s="31">
        <v>0</v>
      </c>
      <c r="AA619" s="31">
        <v>0</v>
      </c>
      <c r="AB619" s="31">
        <v>0</v>
      </c>
      <c r="AC619" s="31">
        <v>18695.099999999999</v>
      </c>
      <c r="AD619" s="31">
        <v>70000</v>
      </c>
      <c r="AE619" s="31">
        <v>0</v>
      </c>
      <c r="AF619" s="34">
        <v>2021</v>
      </c>
      <c r="AG619" s="34">
        <v>2021</v>
      </c>
      <c r="AH619" s="35">
        <v>2021</v>
      </c>
    </row>
    <row r="620" spans="1:46" ht="61.5" x14ac:dyDescent="0.85">
      <c r="A620" s="20">
        <v>1</v>
      </c>
      <c r="B620" s="66">
        <f>SUBTOTAL(103,$A$567:A620)</f>
        <v>54</v>
      </c>
      <c r="C620" s="24" t="s">
        <v>1457</v>
      </c>
      <c r="D620" s="31">
        <f t="shared" si="242"/>
        <v>4219164.3499999996</v>
      </c>
      <c r="E620" s="31">
        <v>0</v>
      </c>
      <c r="F620" s="31">
        <v>0</v>
      </c>
      <c r="G620" s="31">
        <v>0</v>
      </c>
      <c r="H620" s="31">
        <v>0</v>
      </c>
      <c r="I620" s="31">
        <v>0</v>
      </c>
      <c r="J620" s="31">
        <v>0</v>
      </c>
      <c r="K620" s="33">
        <v>0</v>
      </c>
      <c r="L620" s="31">
        <v>0</v>
      </c>
      <c r="M620" s="31">
        <v>886</v>
      </c>
      <c r="N620" s="31">
        <v>4058290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  <c r="V620" s="31">
        <v>0</v>
      </c>
      <c r="W620" s="31">
        <v>0</v>
      </c>
      <c r="X620" s="31">
        <v>0</v>
      </c>
      <c r="Y620" s="31">
        <v>0</v>
      </c>
      <c r="Z620" s="31">
        <v>0</v>
      </c>
      <c r="AA620" s="31">
        <v>0</v>
      </c>
      <c r="AB620" s="31">
        <v>0</v>
      </c>
      <c r="AC620" s="31">
        <v>60874.35</v>
      </c>
      <c r="AD620" s="31">
        <v>100000</v>
      </c>
      <c r="AE620" s="31">
        <v>0</v>
      </c>
      <c r="AF620" s="34">
        <v>2021</v>
      </c>
      <c r="AG620" s="34">
        <v>2021</v>
      </c>
      <c r="AH620" s="35">
        <v>2021</v>
      </c>
    </row>
    <row r="621" spans="1:46" ht="61.5" x14ac:dyDescent="0.85">
      <c r="A621" s="20">
        <v>1</v>
      </c>
      <c r="B621" s="66">
        <f>SUBTOTAL(103,$A$567:A621)</f>
        <v>55</v>
      </c>
      <c r="C621" s="24" t="s">
        <v>1458</v>
      </c>
      <c r="D621" s="31">
        <f t="shared" si="242"/>
        <v>3028742.06</v>
      </c>
      <c r="E621" s="31">
        <v>0</v>
      </c>
      <c r="F621" s="31">
        <v>0</v>
      </c>
      <c r="G621" s="31">
        <v>0</v>
      </c>
      <c r="H621" s="31">
        <v>0</v>
      </c>
      <c r="I621" s="31">
        <v>0</v>
      </c>
      <c r="J621" s="31">
        <v>0</v>
      </c>
      <c r="K621" s="33">
        <v>0</v>
      </c>
      <c r="L621" s="31">
        <v>0</v>
      </c>
      <c r="M621" s="31">
        <v>630</v>
      </c>
      <c r="N621" s="31">
        <v>2885460.19</v>
      </c>
      <c r="O621" s="31">
        <v>0</v>
      </c>
      <c r="P621" s="31">
        <v>0</v>
      </c>
      <c r="Q621" s="31">
        <v>0</v>
      </c>
      <c r="R621" s="31">
        <v>0</v>
      </c>
      <c r="S621" s="31">
        <v>0</v>
      </c>
      <c r="T621" s="31">
        <v>0</v>
      </c>
      <c r="U621" s="31">
        <v>0</v>
      </c>
      <c r="V621" s="31">
        <v>0</v>
      </c>
      <c r="W621" s="31">
        <v>0</v>
      </c>
      <c r="X621" s="31">
        <v>0</v>
      </c>
      <c r="Y621" s="31">
        <v>0</v>
      </c>
      <c r="Z621" s="31">
        <v>0</v>
      </c>
      <c r="AA621" s="31">
        <v>0</v>
      </c>
      <c r="AB621" s="31">
        <v>0</v>
      </c>
      <c r="AC621" s="31">
        <v>43281.87</v>
      </c>
      <c r="AD621" s="31">
        <v>100000</v>
      </c>
      <c r="AE621" s="31">
        <v>0</v>
      </c>
      <c r="AF621" s="34">
        <v>2021</v>
      </c>
      <c r="AG621" s="34">
        <v>2021</v>
      </c>
      <c r="AH621" s="35">
        <v>2021</v>
      </c>
    </row>
    <row r="622" spans="1:46" ht="61.5" x14ac:dyDescent="0.85">
      <c r="A622" s="20">
        <v>1</v>
      </c>
      <c r="B622" s="66">
        <f>SUBTOTAL(103,$A$567:A622)</f>
        <v>56</v>
      </c>
      <c r="C622" s="24" t="s">
        <v>591</v>
      </c>
      <c r="D622" s="31">
        <f t="shared" si="242"/>
        <v>80000</v>
      </c>
      <c r="E622" s="31">
        <v>0</v>
      </c>
      <c r="F622" s="31">
        <v>0</v>
      </c>
      <c r="G622" s="31">
        <v>0</v>
      </c>
      <c r="H622" s="31">
        <v>0</v>
      </c>
      <c r="I622" s="31">
        <v>0</v>
      </c>
      <c r="J622" s="31">
        <v>0</v>
      </c>
      <c r="K622" s="33">
        <v>0</v>
      </c>
      <c r="L622" s="31">
        <v>0</v>
      </c>
      <c r="M622" s="31">
        <v>0</v>
      </c>
      <c r="N622" s="31">
        <v>0</v>
      </c>
      <c r="O622" s="31">
        <v>0</v>
      </c>
      <c r="P622" s="31">
        <v>0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0</v>
      </c>
      <c r="W622" s="31">
        <v>0</v>
      </c>
      <c r="X622" s="31">
        <v>0</v>
      </c>
      <c r="Y622" s="31">
        <v>0</v>
      </c>
      <c r="Z622" s="31">
        <v>0</v>
      </c>
      <c r="AA622" s="31">
        <v>0</v>
      </c>
      <c r="AB622" s="31">
        <v>0</v>
      </c>
      <c r="AC622" s="31">
        <f t="shared" si="255"/>
        <v>0</v>
      </c>
      <c r="AD622" s="31">
        <v>80000</v>
      </c>
      <c r="AE622" s="31">
        <v>0</v>
      </c>
      <c r="AF622" s="34">
        <v>2021</v>
      </c>
      <c r="AG622" s="34" t="s">
        <v>274</v>
      </c>
      <c r="AH622" s="35" t="s">
        <v>274</v>
      </c>
    </row>
    <row r="623" spans="1:46" ht="61.5" x14ac:dyDescent="0.85">
      <c r="A623" s="20">
        <v>1</v>
      </c>
      <c r="B623" s="66">
        <f>SUBTOTAL(103,$A$567:A623)</f>
        <v>57</v>
      </c>
      <c r="C623" s="24" t="s">
        <v>592</v>
      </c>
      <c r="D623" s="31">
        <f t="shared" si="242"/>
        <v>70000</v>
      </c>
      <c r="E623" s="31">
        <v>0</v>
      </c>
      <c r="F623" s="31">
        <v>0</v>
      </c>
      <c r="G623" s="31">
        <v>0</v>
      </c>
      <c r="H623" s="31">
        <v>0</v>
      </c>
      <c r="I623" s="31">
        <v>0</v>
      </c>
      <c r="J623" s="31">
        <v>0</v>
      </c>
      <c r="K623" s="33">
        <v>0</v>
      </c>
      <c r="L623" s="31">
        <v>0</v>
      </c>
      <c r="M623" s="31">
        <v>0</v>
      </c>
      <c r="N623" s="31">
        <v>0</v>
      </c>
      <c r="O623" s="31">
        <v>0</v>
      </c>
      <c r="P623" s="31">
        <v>0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v>0</v>
      </c>
      <c r="Y623" s="31">
        <v>0</v>
      </c>
      <c r="Z623" s="31">
        <v>0</v>
      </c>
      <c r="AA623" s="31">
        <v>0</v>
      </c>
      <c r="AB623" s="31">
        <v>0</v>
      </c>
      <c r="AC623" s="31">
        <f t="shared" si="255"/>
        <v>0</v>
      </c>
      <c r="AD623" s="31">
        <v>70000</v>
      </c>
      <c r="AE623" s="31">
        <v>0</v>
      </c>
      <c r="AF623" s="34">
        <v>2021</v>
      </c>
      <c r="AG623" s="34" t="s">
        <v>274</v>
      </c>
      <c r="AH623" s="35" t="s">
        <v>274</v>
      </c>
    </row>
    <row r="624" spans="1:46" ht="61.5" x14ac:dyDescent="0.85">
      <c r="A624" s="20">
        <v>1</v>
      </c>
      <c r="B624" s="66">
        <f>SUBTOTAL(103,$A$567:A624)</f>
        <v>58</v>
      </c>
      <c r="C624" s="24" t="s">
        <v>1133</v>
      </c>
      <c r="D624" s="31">
        <f t="shared" si="242"/>
        <v>80000</v>
      </c>
      <c r="E624" s="31">
        <v>0</v>
      </c>
      <c r="F624" s="31">
        <v>0</v>
      </c>
      <c r="G624" s="31">
        <v>0</v>
      </c>
      <c r="H624" s="31">
        <v>0</v>
      </c>
      <c r="I624" s="31">
        <v>0</v>
      </c>
      <c r="J624" s="31">
        <v>0</v>
      </c>
      <c r="K624" s="33">
        <v>0</v>
      </c>
      <c r="L624" s="31">
        <v>0</v>
      </c>
      <c r="M624" s="31">
        <v>0</v>
      </c>
      <c r="N624" s="31">
        <v>0</v>
      </c>
      <c r="O624" s="31">
        <v>0</v>
      </c>
      <c r="P624" s="31">
        <v>0</v>
      </c>
      <c r="Q624" s="31">
        <v>0</v>
      </c>
      <c r="R624" s="31">
        <v>0</v>
      </c>
      <c r="S624" s="31">
        <v>0</v>
      </c>
      <c r="T624" s="31">
        <v>0</v>
      </c>
      <c r="U624" s="31">
        <v>0</v>
      </c>
      <c r="V624" s="31">
        <v>0</v>
      </c>
      <c r="W624" s="31">
        <v>0</v>
      </c>
      <c r="X624" s="31">
        <v>0</v>
      </c>
      <c r="Y624" s="31">
        <v>0</v>
      </c>
      <c r="Z624" s="31">
        <v>0</v>
      </c>
      <c r="AA624" s="31">
        <v>0</v>
      </c>
      <c r="AB624" s="31">
        <v>0</v>
      </c>
      <c r="AC624" s="31">
        <f t="shared" si="255"/>
        <v>0</v>
      </c>
      <c r="AD624" s="31">
        <v>80000</v>
      </c>
      <c r="AE624" s="31">
        <v>0</v>
      </c>
      <c r="AF624" s="34">
        <v>2021</v>
      </c>
      <c r="AG624" s="34" t="s">
        <v>274</v>
      </c>
      <c r="AH624" s="35" t="s">
        <v>274</v>
      </c>
    </row>
    <row r="625" spans="1:34" ht="61.5" x14ac:dyDescent="0.85">
      <c r="A625" s="20">
        <v>1</v>
      </c>
      <c r="B625" s="66">
        <f>SUBTOTAL(103,$A$567:A625)</f>
        <v>59</v>
      </c>
      <c r="C625" s="24" t="s">
        <v>593</v>
      </c>
      <c r="D625" s="31">
        <f t="shared" si="242"/>
        <v>100000</v>
      </c>
      <c r="E625" s="31">
        <v>0</v>
      </c>
      <c r="F625" s="31">
        <v>0</v>
      </c>
      <c r="G625" s="31">
        <v>0</v>
      </c>
      <c r="H625" s="31">
        <v>0</v>
      </c>
      <c r="I625" s="31">
        <v>0</v>
      </c>
      <c r="J625" s="31">
        <v>0</v>
      </c>
      <c r="K625" s="33">
        <v>0</v>
      </c>
      <c r="L625" s="31">
        <v>0</v>
      </c>
      <c r="M625" s="31">
        <v>0</v>
      </c>
      <c r="N625" s="31">
        <v>0</v>
      </c>
      <c r="O625" s="31">
        <v>0</v>
      </c>
      <c r="P625" s="31">
        <v>0</v>
      </c>
      <c r="Q625" s="31">
        <v>0</v>
      </c>
      <c r="R625" s="31">
        <v>0</v>
      </c>
      <c r="S625" s="31">
        <v>0</v>
      </c>
      <c r="T625" s="31">
        <v>0</v>
      </c>
      <c r="U625" s="31">
        <v>0</v>
      </c>
      <c r="V625" s="31">
        <v>0</v>
      </c>
      <c r="W625" s="31">
        <v>0</v>
      </c>
      <c r="X625" s="31">
        <v>0</v>
      </c>
      <c r="Y625" s="31">
        <v>0</v>
      </c>
      <c r="Z625" s="31">
        <v>0</v>
      </c>
      <c r="AA625" s="31">
        <v>0</v>
      </c>
      <c r="AB625" s="31">
        <v>0</v>
      </c>
      <c r="AC625" s="31">
        <f t="shared" si="255"/>
        <v>0</v>
      </c>
      <c r="AD625" s="31">
        <v>100000</v>
      </c>
      <c r="AE625" s="31">
        <v>0</v>
      </c>
      <c r="AF625" s="34">
        <v>2021</v>
      </c>
      <c r="AG625" s="34" t="s">
        <v>274</v>
      </c>
      <c r="AH625" s="35" t="s">
        <v>274</v>
      </c>
    </row>
    <row r="626" spans="1:34" ht="61.5" x14ac:dyDescent="0.85">
      <c r="A626" s="20">
        <v>1</v>
      </c>
      <c r="B626" s="66">
        <f>SUBTOTAL(103,$A$567:A626)</f>
        <v>60</v>
      </c>
      <c r="C626" s="24" t="s">
        <v>594</v>
      </c>
      <c r="D626" s="31">
        <f t="shared" si="242"/>
        <v>70000</v>
      </c>
      <c r="E626" s="31">
        <v>0</v>
      </c>
      <c r="F626" s="31">
        <v>0</v>
      </c>
      <c r="G626" s="31">
        <v>0</v>
      </c>
      <c r="H626" s="31">
        <v>0</v>
      </c>
      <c r="I626" s="31">
        <v>0</v>
      </c>
      <c r="J626" s="31">
        <v>0</v>
      </c>
      <c r="K626" s="33">
        <v>0</v>
      </c>
      <c r="L626" s="31">
        <v>0</v>
      </c>
      <c r="M626" s="31">
        <v>0</v>
      </c>
      <c r="N626" s="31">
        <v>0</v>
      </c>
      <c r="O626" s="31">
        <v>0</v>
      </c>
      <c r="P626" s="31">
        <v>0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0</v>
      </c>
      <c r="W626" s="31">
        <v>0</v>
      </c>
      <c r="X626" s="31">
        <v>0</v>
      </c>
      <c r="Y626" s="31">
        <v>0</v>
      </c>
      <c r="Z626" s="31">
        <v>0</v>
      </c>
      <c r="AA626" s="31">
        <v>0</v>
      </c>
      <c r="AB626" s="31">
        <v>0</v>
      </c>
      <c r="AC626" s="31">
        <f t="shared" si="255"/>
        <v>0</v>
      </c>
      <c r="AD626" s="31">
        <v>70000</v>
      </c>
      <c r="AE626" s="31">
        <v>0</v>
      </c>
      <c r="AF626" s="34">
        <v>2021</v>
      </c>
      <c r="AG626" s="34" t="s">
        <v>274</v>
      </c>
      <c r="AH626" s="35" t="s">
        <v>274</v>
      </c>
    </row>
    <row r="627" spans="1:34" ht="61.5" x14ac:dyDescent="0.85">
      <c r="A627" s="20">
        <v>1</v>
      </c>
      <c r="B627" s="66">
        <f>SUBTOTAL(103,$A$567:A627)</f>
        <v>61</v>
      </c>
      <c r="C627" s="24" t="s">
        <v>595</v>
      </c>
      <c r="D627" s="31">
        <f t="shared" si="242"/>
        <v>100000</v>
      </c>
      <c r="E627" s="31">
        <v>0</v>
      </c>
      <c r="F627" s="31">
        <v>0</v>
      </c>
      <c r="G627" s="31">
        <v>0</v>
      </c>
      <c r="H627" s="31">
        <v>0</v>
      </c>
      <c r="I627" s="31">
        <v>0</v>
      </c>
      <c r="J627" s="31">
        <v>0</v>
      </c>
      <c r="K627" s="33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0</v>
      </c>
      <c r="R627" s="31">
        <v>0</v>
      </c>
      <c r="S627" s="31">
        <v>0</v>
      </c>
      <c r="T627" s="31">
        <v>0</v>
      </c>
      <c r="U627" s="31">
        <v>0</v>
      </c>
      <c r="V627" s="31">
        <v>0</v>
      </c>
      <c r="W627" s="31">
        <v>0</v>
      </c>
      <c r="X627" s="31">
        <v>0</v>
      </c>
      <c r="Y627" s="31">
        <v>0</v>
      </c>
      <c r="Z627" s="31">
        <v>0</v>
      </c>
      <c r="AA627" s="31">
        <v>0</v>
      </c>
      <c r="AB627" s="31">
        <v>0</v>
      </c>
      <c r="AC627" s="31">
        <f t="shared" si="255"/>
        <v>0</v>
      </c>
      <c r="AD627" s="31">
        <v>100000</v>
      </c>
      <c r="AE627" s="31">
        <v>0</v>
      </c>
      <c r="AF627" s="34">
        <v>2021</v>
      </c>
      <c r="AG627" s="34" t="s">
        <v>274</v>
      </c>
      <c r="AH627" s="35" t="s">
        <v>274</v>
      </c>
    </row>
    <row r="628" spans="1:34" ht="61.5" x14ac:dyDescent="0.85">
      <c r="A628" s="20">
        <v>1</v>
      </c>
      <c r="B628" s="66">
        <f>SUBTOTAL(103,$A$567:A628)</f>
        <v>62</v>
      </c>
      <c r="C628" s="24" t="s">
        <v>596</v>
      </c>
      <c r="D628" s="31">
        <f t="shared" si="242"/>
        <v>100000</v>
      </c>
      <c r="E628" s="31">
        <v>0</v>
      </c>
      <c r="F628" s="31">
        <v>0</v>
      </c>
      <c r="G628" s="31">
        <v>0</v>
      </c>
      <c r="H628" s="31">
        <v>0</v>
      </c>
      <c r="I628" s="31">
        <v>0</v>
      </c>
      <c r="J628" s="31">
        <v>0</v>
      </c>
      <c r="K628" s="33">
        <v>0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0</v>
      </c>
      <c r="W628" s="31">
        <v>0</v>
      </c>
      <c r="X628" s="31">
        <v>0</v>
      </c>
      <c r="Y628" s="31">
        <v>0</v>
      </c>
      <c r="Z628" s="31">
        <v>0</v>
      </c>
      <c r="AA628" s="31">
        <v>0</v>
      </c>
      <c r="AB628" s="31">
        <v>0</v>
      </c>
      <c r="AC628" s="31">
        <f t="shared" si="255"/>
        <v>0</v>
      </c>
      <c r="AD628" s="31">
        <v>100000</v>
      </c>
      <c r="AE628" s="31">
        <v>0</v>
      </c>
      <c r="AF628" s="34">
        <v>2021</v>
      </c>
      <c r="AG628" s="34" t="s">
        <v>274</v>
      </c>
      <c r="AH628" s="35" t="s">
        <v>274</v>
      </c>
    </row>
    <row r="629" spans="1:34" ht="61.5" x14ac:dyDescent="0.85">
      <c r="A629" s="20">
        <v>1</v>
      </c>
      <c r="B629" s="66">
        <f>SUBTOTAL(103,$A$567:A629)</f>
        <v>63</v>
      </c>
      <c r="C629" s="24" t="s">
        <v>597</v>
      </c>
      <c r="D629" s="31">
        <f t="shared" si="242"/>
        <v>100000</v>
      </c>
      <c r="E629" s="31">
        <v>0</v>
      </c>
      <c r="F629" s="31">
        <v>0</v>
      </c>
      <c r="G629" s="31">
        <v>0</v>
      </c>
      <c r="H629" s="31">
        <v>0</v>
      </c>
      <c r="I629" s="31">
        <v>0</v>
      </c>
      <c r="J629" s="31">
        <v>0</v>
      </c>
      <c r="K629" s="33">
        <v>0</v>
      </c>
      <c r="L629" s="31">
        <v>0</v>
      </c>
      <c r="M629" s="31">
        <v>0</v>
      </c>
      <c r="N629" s="31">
        <v>0</v>
      </c>
      <c r="O629" s="31">
        <v>0</v>
      </c>
      <c r="P629" s="31">
        <v>0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0</v>
      </c>
      <c r="W629" s="31">
        <v>0</v>
      </c>
      <c r="X629" s="31">
        <v>0</v>
      </c>
      <c r="Y629" s="31">
        <v>0</v>
      </c>
      <c r="Z629" s="31">
        <v>0</v>
      </c>
      <c r="AA629" s="31">
        <v>0</v>
      </c>
      <c r="AB629" s="31">
        <v>0</v>
      </c>
      <c r="AC629" s="31">
        <f t="shared" si="255"/>
        <v>0</v>
      </c>
      <c r="AD629" s="31">
        <v>100000</v>
      </c>
      <c r="AE629" s="31">
        <v>0</v>
      </c>
      <c r="AF629" s="34">
        <v>2021</v>
      </c>
      <c r="AG629" s="34" t="s">
        <v>274</v>
      </c>
      <c r="AH629" s="35" t="s">
        <v>274</v>
      </c>
    </row>
    <row r="630" spans="1:34" ht="61.5" x14ac:dyDescent="0.85">
      <c r="A630" s="20">
        <v>1</v>
      </c>
      <c r="B630" s="66">
        <f>SUBTOTAL(103,$A$567:A630)</f>
        <v>64</v>
      </c>
      <c r="C630" s="24" t="s">
        <v>598</v>
      </c>
      <c r="D630" s="31">
        <f t="shared" si="242"/>
        <v>100000</v>
      </c>
      <c r="E630" s="31">
        <v>0</v>
      </c>
      <c r="F630" s="31">
        <v>0</v>
      </c>
      <c r="G630" s="31">
        <v>0</v>
      </c>
      <c r="H630" s="31">
        <v>0</v>
      </c>
      <c r="I630" s="31">
        <v>0</v>
      </c>
      <c r="J630" s="31">
        <v>0</v>
      </c>
      <c r="K630" s="33">
        <v>0</v>
      </c>
      <c r="L630" s="31">
        <v>0</v>
      </c>
      <c r="M630" s="31">
        <v>0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0</v>
      </c>
      <c r="W630" s="31">
        <v>0</v>
      </c>
      <c r="X630" s="31">
        <v>0</v>
      </c>
      <c r="Y630" s="31">
        <v>0</v>
      </c>
      <c r="Z630" s="31">
        <v>0</v>
      </c>
      <c r="AA630" s="31">
        <v>0</v>
      </c>
      <c r="AB630" s="31">
        <v>0</v>
      </c>
      <c r="AC630" s="31">
        <f t="shared" si="255"/>
        <v>0</v>
      </c>
      <c r="AD630" s="31">
        <v>100000</v>
      </c>
      <c r="AE630" s="31">
        <v>0</v>
      </c>
      <c r="AF630" s="34">
        <v>2021</v>
      </c>
      <c r="AG630" s="34" t="s">
        <v>274</v>
      </c>
      <c r="AH630" s="35" t="s">
        <v>274</v>
      </c>
    </row>
    <row r="631" spans="1:34" ht="61.5" x14ac:dyDescent="0.85">
      <c r="A631" s="20">
        <v>1</v>
      </c>
      <c r="B631" s="66">
        <f>SUBTOTAL(103,$A$567:A631)</f>
        <v>65</v>
      </c>
      <c r="C631" s="24" t="s">
        <v>599</v>
      </c>
      <c r="D631" s="31">
        <f t="shared" si="242"/>
        <v>100000</v>
      </c>
      <c r="E631" s="31">
        <v>0</v>
      </c>
      <c r="F631" s="31">
        <v>0</v>
      </c>
      <c r="G631" s="31">
        <v>0</v>
      </c>
      <c r="H631" s="31">
        <v>0</v>
      </c>
      <c r="I631" s="31">
        <v>0</v>
      </c>
      <c r="J631" s="31">
        <v>0</v>
      </c>
      <c r="K631" s="33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0</v>
      </c>
      <c r="W631" s="31">
        <v>0</v>
      </c>
      <c r="X631" s="31">
        <v>0</v>
      </c>
      <c r="Y631" s="31">
        <v>0</v>
      </c>
      <c r="Z631" s="31">
        <v>0</v>
      </c>
      <c r="AA631" s="31">
        <v>0</v>
      </c>
      <c r="AB631" s="31">
        <v>0</v>
      </c>
      <c r="AC631" s="31">
        <f t="shared" si="255"/>
        <v>0</v>
      </c>
      <c r="AD631" s="31">
        <v>100000</v>
      </c>
      <c r="AE631" s="31">
        <v>0</v>
      </c>
      <c r="AF631" s="34">
        <v>2021</v>
      </c>
      <c r="AG631" s="34" t="s">
        <v>274</v>
      </c>
      <c r="AH631" s="35" t="s">
        <v>274</v>
      </c>
    </row>
    <row r="632" spans="1:34" ht="61.5" x14ac:dyDescent="0.85">
      <c r="A632" s="20">
        <v>1</v>
      </c>
      <c r="B632" s="66">
        <f>SUBTOTAL(103,$A$567:A632)</f>
        <v>66</v>
      </c>
      <c r="C632" s="24" t="s">
        <v>600</v>
      </c>
      <c r="D632" s="31">
        <f t="shared" si="242"/>
        <v>100000</v>
      </c>
      <c r="E632" s="31">
        <v>0</v>
      </c>
      <c r="F632" s="31">
        <v>0</v>
      </c>
      <c r="G632" s="31">
        <v>0</v>
      </c>
      <c r="H632" s="31">
        <v>0</v>
      </c>
      <c r="I632" s="31">
        <v>0</v>
      </c>
      <c r="J632" s="31">
        <v>0</v>
      </c>
      <c r="K632" s="33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0</v>
      </c>
      <c r="W632" s="31">
        <v>0</v>
      </c>
      <c r="X632" s="31">
        <v>0</v>
      </c>
      <c r="Y632" s="31">
        <v>0</v>
      </c>
      <c r="Z632" s="31">
        <v>0</v>
      </c>
      <c r="AA632" s="31">
        <v>0</v>
      </c>
      <c r="AB632" s="31">
        <v>0</v>
      </c>
      <c r="AC632" s="31">
        <f t="shared" si="255"/>
        <v>0</v>
      </c>
      <c r="AD632" s="31">
        <v>100000</v>
      </c>
      <c r="AE632" s="31">
        <v>0</v>
      </c>
      <c r="AF632" s="34">
        <v>2021</v>
      </c>
      <c r="AG632" s="34" t="s">
        <v>274</v>
      </c>
      <c r="AH632" s="35" t="s">
        <v>274</v>
      </c>
    </row>
    <row r="633" spans="1:34" ht="61.5" x14ac:dyDescent="0.85">
      <c r="A633" s="20">
        <v>1</v>
      </c>
      <c r="B633" s="66">
        <f>SUBTOTAL(103,$A$567:A633)</f>
        <v>67</v>
      </c>
      <c r="C633" s="24" t="s">
        <v>601</v>
      </c>
      <c r="D633" s="31">
        <f t="shared" si="242"/>
        <v>100000</v>
      </c>
      <c r="E633" s="31">
        <v>0</v>
      </c>
      <c r="F633" s="31">
        <v>0</v>
      </c>
      <c r="G633" s="31">
        <v>0</v>
      </c>
      <c r="H633" s="31">
        <v>0</v>
      </c>
      <c r="I633" s="31">
        <v>0</v>
      </c>
      <c r="J633" s="31">
        <v>0</v>
      </c>
      <c r="K633" s="33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0</v>
      </c>
      <c r="W633" s="31">
        <v>0</v>
      </c>
      <c r="X633" s="31">
        <v>0</v>
      </c>
      <c r="Y633" s="31">
        <v>0</v>
      </c>
      <c r="Z633" s="31">
        <v>0</v>
      </c>
      <c r="AA633" s="31">
        <v>0</v>
      </c>
      <c r="AB633" s="31">
        <v>0</v>
      </c>
      <c r="AC633" s="31">
        <f t="shared" si="255"/>
        <v>0</v>
      </c>
      <c r="AD633" s="31">
        <v>100000</v>
      </c>
      <c r="AE633" s="31">
        <v>0</v>
      </c>
      <c r="AF633" s="34">
        <v>2021</v>
      </c>
      <c r="AG633" s="34" t="s">
        <v>274</v>
      </c>
      <c r="AH633" s="35" t="s">
        <v>274</v>
      </c>
    </row>
    <row r="634" spans="1:34" ht="61.5" x14ac:dyDescent="0.85">
      <c r="A634" s="20">
        <v>1</v>
      </c>
      <c r="B634" s="66">
        <f>SUBTOTAL(103,$A$567:A634)</f>
        <v>68</v>
      </c>
      <c r="C634" s="24" t="s">
        <v>602</v>
      </c>
      <c r="D634" s="31">
        <f t="shared" si="242"/>
        <v>100000</v>
      </c>
      <c r="E634" s="31">
        <v>0</v>
      </c>
      <c r="F634" s="31">
        <v>0</v>
      </c>
      <c r="G634" s="31">
        <v>0</v>
      </c>
      <c r="H634" s="31">
        <v>0</v>
      </c>
      <c r="I634" s="31">
        <v>0</v>
      </c>
      <c r="J634" s="31">
        <v>0</v>
      </c>
      <c r="K634" s="33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31">
        <v>0</v>
      </c>
      <c r="T634" s="31">
        <v>0</v>
      </c>
      <c r="U634" s="31">
        <v>0</v>
      </c>
      <c r="V634" s="31">
        <v>0</v>
      </c>
      <c r="W634" s="31">
        <v>0</v>
      </c>
      <c r="X634" s="31">
        <v>0</v>
      </c>
      <c r="Y634" s="31">
        <v>0</v>
      </c>
      <c r="Z634" s="31">
        <v>0</v>
      </c>
      <c r="AA634" s="31">
        <v>0</v>
      </c>
      <c r="AB634" s="31">
        <v>0</v>
      </c>
      <c r="AC634" s="31">
        <f t="shared" si="255"/>
        <v>0</v>
      </c>
      <c r="AD634" s="31">
        <v>100000</v>
      </c>
      <c r="AE634" s="31">
        <v>0</v>
      </c>
      <c r="AF634" s="34">
        <v>2021</v>
      </c>
      <c r="AG634" s="34" t="s">
        <v>274</v>
      </c>
      <c r="AH634" s="35" t="s">
        <v>274</v>
      </c>
    </row>
    <row r="635" spans="1:34" ht="61.5" x14ac:dyDescent="0.85">
      <c r="A635" s="20">
        <v>1</v>
      </c>
      <c r="B635" s="66">
        <f>SUBTOTAL(103,$A$567:A635)</f>
        <v>69</v>
      </c>
      <c r="C635" s="24" t="s">
        <v>603</v>
      </c>
      <c r="D635" s="31">
        <f t="shared" si="242"/>
        <v>100000</v>
      </c>
      <c r="E635" s="31">
        <v>0</v>
      </c>
      <c r="F635" s="31">
        <v>0</v>
      </c>
      <c r="G635" s="31">
        <v>0</v>
      </c>
      <c r="H635" s="31">
        <v>0</v>
      </c>
      <c r="I635" s="31">
        <v>0</v>
      </c>
      <c r="J635" s="31">
        <v>0</v>
      </c>
      <c r="K635" s="33">
        <v>0</v>
      </c>
      <c r="L635" s="31">
        <v>0</v>
      </c>
      <c r="M635" s="31">
        <v>0</v>
      </c>
      <c r="N635" s="31">
        <v>0</v>
      </c>
      <c r="O635" s="31">
        <v>0</v>
      </c>
      <c r="P635" s="31">
        <v>0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1">
        <v>0</v>
      </c>
      <c r="Y635" s="31">
        <v>0</v>
      </c>
      <c r="Z635" s="31">
        <v>0</v>
      </c>
      <c r="AA635" s="31">
        <v>0</v>
      </c>
      <c r="AB635" s="31">
        <v>0</v>
      </c>
      <c r="AC635" s="31">
        <f t="shared" si="255"/>
        <v>0</v>
      </c>
      <c r="AD635" s="31">
        <v>100000</v>
      </c>
      <c r="AE635" s="31">
        <v>0</v>
      </c>
      <c r="AF635" s="34">
        <v>2021</v>
      </c>
      <c r="AG635" s="34" t="s">
        <v>274</v>
      </c>
      <c r="AH635" s="35" t="s">
        <v>274</v>
      </c>
    </row>
    <row r="636" spans="1:34" ht="61.5" x14ac:dyDescent="0.85">
      <c r="A636" s="20">
        <v>1</v>
      </c>
      <c r="B636" s="66">
        <f>SUBTOTAL(103,$A$567:A636)</f>
        <v>70</v>
      </c>
      <c r="C636" s="24" t="s">
        <v>604</v>
      </c>
      <c r="D636" s="31">
        <f t="shared" si="242"/>
        <v>99900</v>
      </c>
      <c r="E636" s="31">
        <v>0</v>
      </c>
      <c r="F636" s="31">
        <v>0</v>
      </c>
      <c r="G636" s="31">
        <v>0</v>
      </c>
      <c r="H636" s="31">
        <v>0</v>
      </c>
      <c r="I636" s="31">
        <v>0</v>
      </c>
      <c r="J636" s="31">
        <v>0</v>
      </c>
      <c r="K636" s="33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31">
        <v>0</v>
      </c>
      <c r="T636" s="31">
        <v>0</v>
      </c>
      <c r="U636" s="31">
        <v>0</v>
      </c>
      <c r="V636" s="31">
        <v>0</v>
      </c>
      <c r="W636" s="31">
        <v>0</v>
      </c>
      <c r="X636" s="31">
        <v>0</v>
      </c>
      <c r="Y636" s="31">
        <v>0</v>
      </c>
      <c r="Z636" s="31">
        <v>0</v>
      </c>
      <c r="AA636" s="31">
        <v>0</v>
      </c>
      <c r="AB636" s="31">
        <v>0</v>
      </c>
      <c r="AC636" s="31">
        <f t="shared" si="255"/>
        <v>0</v>
      </c>
      <c r="AD636" s="31">
        <v>99900</v>
      </c>
      <c r="AE636" s="31">
        <v>0</v>
      </c>
      <c r="AF636" s="34">
        <v>2021</v>
      </c>
      <c r="AG636" s="34" t="s">
        <v>274</v>
      </c>
      <c r="AH636" s="35" t="s">
        <v>274</v>
      </c>
    </row>
    <row r="637" spans="1:34" ht="61.5" x14ac:dyDescent="0.85">
      <c r="A637" s="20">
        <v>1</v>
      </c>
      <c r="B637" s="66">
        <f>SUBTOTAL(103,$A$567:A637)</f>
        <v>71</v>
      </c>
      <c r="C637" s="24" t="s">
        <v>605</v>
      </c>
      <c r="D637" s="31">
        <f t="shared" si="242"/>
        <v>100000</v>
      </c>
      <c r="E637" s="31">
        <v>0</v>
      </c>
      <c r="F637" s="31">
        <v>0</v>
      </c>
      <c r="G637" s="31">
        <v>0</v>
      </c>
      <c r="H637" s="31">
        <v>0</v>
      </c>
      <c r="I637" s="31">
        <v>0</v>
      </c>
      <c r="J637" s="31">
        <v>0</v>
      </c>
      <c r="K637" s="33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v>0</v>
      </c>
      <c r="Y637" s="31">
        <v>0</v>
      </c>
      <c r="Z637" s="31">
        <v>0</v>
      </c>
      <c r="AA637" s="31">
        <v>0</v>
      </c>
      <c r="AB637" s="31">
        <v>0</v>
      </c>
      <c r="AC637" s="31">
        <f t="shared" si="255"/>
        <v>0</v>
      </c>
      <c r="AD637" s="31">
        <v>100000</v>
      </c>
      <c r="AE637" s="31">
        <v>0</v>
      </c>
      <c r="AF637" s="34">
        <v>2021</v>
      </c>
      <c r="AG637" s="34" t="s">
        <v>274</v>
      </c>
      <c r="AH637" s="35" t="s">
        <v>274</v>
      </c>
    </row>
    <row r="638" spans="1:34" ht="61.5" x14ac:dyDescent="0.85">
      <c r="A638" s="20">
        <v>1</v>
      </c>
      <c r="B638" s="66">
        <f>SUBTOTAL(103,$A$567:A638)</f>
        <v>72</v>
      </c>
      <c r="C638" s="24" t="s">
        <v>606</v>
      </c>
      <c r="D638" s="31">
        <f t="shared" si="242"/>
        <v>100000</v>
      </c>
      <c r="E638" s="31">
        <v>0</v>
      </c>
      <c r="F638" s="31">
        <v>0</v>
      </c>
      <c r="G638" s="31">
        <v>0</v>
      </c>
      <c r="H638" s="31">
        <v>0</v>
      </c>
      <c r="I638" s="31">
        <v>0</v>
      </c>
      <c r="J638" s="31">
        <v>0</v>
      </c>
      <c r="K638" s="33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v>0</v>
      </c>
      <c r="Y638" s="31">
        <v>0</v>
      </c>
      <c r="Z638" s="31">
        <v>0</v>
      </c>
      <c r="AA638" s="31">
        <v>0</v>
      </c>
      <c r="AB638" s="31">
        <v>0</v>
      </c>
      <c r="AC638" s="31">
        <f t="shared" si="255"/>
        <v>0</v>
      </c>
      <c r="AD638" s="31">
        <v>100000</v>
      </c>
      <c r="AE638" s="31">
        <v>0</v>
      </c>
      <c r="AF638" s="34">
        <v>2021</v>
      </c>
      <c r="AG638" s="34" t="s">
        <v>274</v>
      </c>
      <c r="AH638" s="35" t="s">
        <v>274</v>
      </c>
    </row>
    <row r="639" spans="1:34" ht="61.5" x14ac:dyDescent="0.85">
      <c r="A639" s="20">
        <v>1</v>
      </c>
      <c r="B639" s="66">
        <f>SUBTOTAL(103,$A$567:A639)</f>
        <v>73</v>
      </c>
      <c r="C639" s="24" t="s">
        <v>607</v>
      </c>
      <c r="D639" s="31">
        <f t="shared" si="242"/>
        <v>100000</v>
      </c>
      <c r="E639" s="31">
        <v>0</v>
      </c>
      <c r="F639" s="31">
        <v>0</v>
      </c>
      <c r="G639" s="31">
        <v>0</v>
      </c>
      <c r="H639" s="31">
        <v>0</v>
      </c>
      <c r="I639" s="31">
        <v>0</v>
      </c>
      <c r="J639" s="31">
        <v>0</v>
      </c>
      <c r="K639" s="33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v>0</v>
      </c>
      <c r="Y639" s="31">
        <v>0</v>
      </c>
      <c r="Z639" s="31">
        <v>0</v>
      </c>
      <c r="AA639" s="31">
        <v>0</v>
      </c>
      <c r="AB639" s="31">
        <v>0</v>
      </c>
      <c r="AC639" s="31">
        <f t="shared" si="255"/>
        <v>0</v>
      </c>
      <c r="AD639" s="31">
        <v>100000</v>
      </c>
      <c r="AE639" s="31">
        <v>0</v>
      </c>
      <c r="AF639" s="34">
        <v>2021</v>
      </c>
      <c r="AG639" s="34" t="s">
        <v>274</v>
      </c>
      <c r="AH639" s="35" t="s">
        <v>274</v>
      </c>
    </row>
    <row r="640" spans="1:34" ht="61.5" x14ac:dyDescent="0.85">
      <c r="A640" s="20">
        <v>1</v>
      </c>
      <c r="B640" s="66">
        <f>SUBTOTAL(103,$A$567:A640)</f>
        <v>74</v>
      </c>
      <c r="C640" s="24" t="s">
        <v>608</v>
      </c>
      <c r="D640" s="31">
        <f t="shared" si="242"/>
        <v>100000</v>
      </c>
      <c r="E640" s="31">
        <v>0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3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v>0</v>
      </c>
      <c r="Y640" s="31">
        <v>0</v>
      </c>
      <c r="Z640" s="31">
        <v>0</v>
      </c>
      <c r="AA640" s="31">
        <v>0</v>
      </c>
      <c r="AB640" s="31">
        <v>0</v>
      </c>
      <c r="AC640" s="31">
        <f t="shared" si="255"/>
        <v>0</v>
      </c>
      <c r="AD640" s="31">
        <v>100000</v>
      </c>
      <c r="AE640" s="31">
        <v>0</v>
      </c>
      <c r="AF640" s="34">
        <v>2021</v>
      </c>
      <c r="AG640" s="34" t="s">
        <v>274</v>
      </c>
      <c r="AH640" s="35" t="s">
        <v>274</v>
      </c>
    </row>
    <row r="641" spans="1:34" ht="61.5" x14ac:dyDescent="0.85">
      <c r="A641" s="20">
        <v>1</v>
      </c>
      <c r="B641" s="66">
        <f>SUBTOTAL(103,$A$567:A641)</f>
        <v>75</v>
      </c>
      <c r="C641" s="24" t="s">
        <v>609</v>
      </c>
      <c r="D641" s="31">
        <f t="shared" si="242"/>
        <v>100000</v>
      </c>
      <c r="E641" s="31">
        <v>0</v>
      </c>
      <c r="F641" s="31">
        <v>0</v>
      </c>
      <c r="G641" s="31">
        <v>0</v>
      </c>
      <c r="H641" s="31">
        <v>0</v>
      </c>
      <c r="I641" s="31">
        <v>0</v>
      </c>
      <c r="J641" s="31">
        <v>0</v>
      </c>
      <c r="K641" s="33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v>0</v>
      </c>
      <c r="Y641" s="31">
        <v>0</v>
      </c>
      <c r="Z641" s="31">
        <v>0</v>
      </c>
      <c r="AA641" s="31">
        <v>0</v>
      </c>
      <c r="AB641" s="31">
        <v>0</v>
      </c>
      <c r="AC641" s="31">
        <f t="shared" si="255"/>
        <v>0</v>
      </c>
      <c r="AD641" s="31">
        <v>100000</v>
      </c>
      <c r="AE641" s="31">
        <v>0</v>
      </c>
      <c r="AF641" s="34">
        <v>2021</v>
      </c>
      <c r="AG641" s="34" t="s">
        <v>274</v>
      </c>
      <c r="AH641" s="35" t="s">
        <v>274</v>
      </c>
    </row>
    <row r="642" spans="1:34" ht="61.5" x14ac:dyDescent="0.85">
      <c r="A642" s="20">
        <v>1</v>
      </c>
      <c r="B642" s="66">
        <f>SUBTOTAL(103,$A$567:A642)</f>
        <v>76</v>
      </c>
      <c r="C642" s="24" t="s">
        <v>610</v>
      </c>
      <c r="D642" s="31">
        <f t="shared" si="242"/>
        <v>100000</v>
      </c>
      <c r="E642" s="31">
        <v>0</v>
      </c>
      <c r="F642" s="31">
        <v>0</v>
      </c>
      <c r="G642" s="31">
        <v>0</v>
      </c>
      <c r="H642" s="31">
        <v>0</v>
      </c>
      <c r="I642" s="31">
        <v>0</v>
      </c>
      <c r="J642" s="31">
        <v>0</v>
      </c>
      <c r="K642" s="33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0</v>
      </c>
      <c r="Q642" s="31">
        <v>0</v>
      </c>
      <c r="R642" s="31">
        <v>0</v>
      </c>
      <c r="S642" s="31">
        <v>0</v>
      </c>
      <c r="T642" s="31">
        <v>0</v>
      </c>
      <c r="U642" s="31">
        <v>0</v>
      </c>
      <c r="V642" s="31">
        <v>0</v>
      </c>
      <c r="W642" s="31">
        <v>0</v>
      </c>
      <c r="X642" s="31">
        <v>0</v>
      </c>
      <c r="Y642" s="31">
        <v>0</v>
      </c>
      <c r="Z642" s="31">
        <v>0</v>
      </c>
      <c r="AA642" s="31">
        <v>0</v>
      </c>
      <c r="AB642" s="31">
        <v>0</v>
      </c>
      <c r="AC642" s="31">
        <f t="shared" si="255"/>
        <v>0</v>
      </c>
      <c r="AD642" s="31">
        <v>100000</v>
      </c>
      <c r="AE642" s="31">
        <v>0</v>
      </c>
      <c r="AF642" s="34">
        <v>2021</v>
      </c>
      <c r="AG642" s="34" t="s">
        <v>274</v>
      </c>
      <c r="AH642" s="35" t="s">
        <v>274</v>
      </c>
    </row>
    <row r="643" spans="1:34" ht="61.5" x14ac:dyDescent="0.85">
      <c r="A643" s="20">
        <v>1</v>
      </c>
      <c r="B643" s="66">
        <f>SUBTOTAL(103,$A$567:A643)</f>
        <v>77</v>
      </c>
      <c r="C643" s="24" t="s">
        <v>611</v>
      </c>
      <c r="D643" s="31">
        <f t="shared" si="242"/>
        <v>100000</v>
      </c>
      <c r="E643" s="31">
        <v>0</v>
      </c>
      <c r="F643" s="31">
        <v>0</v>
      </c>
      <c r="G643" s="31">
        <v>0</v>
      </c>
      <c r="H643" s="31">
        <v>0</v>
      </c>
      <c r="I643" s="31">
        <v>0</v>
      </c>
      <c r="J643" s="31">
        <v>0</v>
      </c>
      <c r="K643" s="33">
        <v>0</v>
      </c>
      <c r="L643" s="31">
        <v>0</v>
      </c>
      <c r="M643" s="31">
        <v>0</v>
      </c>
      <c r="N643" s="31">
        <v>0</v>
      </c>
      <c r="O643" s="31">
        <v>0</v>
      </c>
      <c r="P643" s="31">
        <v>0</v>
      </c>
      <c r="Q643" s="31">
        <v>0</v>
      </c>
      <c r="R643" s="31">
        <v>0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v>0</v>
      </c>
      <c r="Y643" s="31">
        <v>0</v>
      </c>
      <c r="Z643" s="31">
        <v>0</v>
      </c>
      <c r="AA643" s="31">
        <v>0</v>
      </c>
      <c r="AB643" s="31">
        <v>0</v>
      </c>
      <c r="AC643" s="31">
        <f t="shared" si="255"/>
        <v>0</v>
      </c>
      <c r="AD643" s="31">
        <v>100000</v>
      </c>
      <c r="AE643" s="31">
        <v>0</v>
      </c>
      <c r="AF643" s="34">
        <v>2021</v>
      </c>
      <c r="AG643" s="34" t="s">
        <v>274</v>
      </c>
      <c r="AH643" s="35" t="s">
        <v>274</v>
      </c>
    </row>
    <row r="644" spans="1:34" ht="61.5" x14ac:dyDescent="0.85">
      <c r="A644" s="20">
        <v>1</v>
      </c>
      <c r="B644" s="66">
        <f>SUBTOTAL(103,$A$567:A644)</f>
        <v>78</v>
      </c>
      <c r="C644" s="24" t="s">
        <v>612</v>
      </c>
      <c r="D644" s="31">
        <f t="shared" si="242"/>
        <v>100000</v>
      </c>
      <c r="E644" s="31">
        <v>0</v>
      </c>
      <c r="F644" s="31">
        <v>0</v>
      </c>
      <c r="G644" s="31">
        <v>0</v>
      </c>
      <c r="H644" s="31">
        <v>0</v>
      </c>
      <c r="I644" s="31">
        <v>0</v>
      </c>
      <c r="J644" s="31">
        <v>0</v>
      </c>
      <c r="K644" s="33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v>0</v>
      </c>
      <c r="Y644" s="31">
        <v>0</v>
      </c>
      <c r="Z644" s="31">
        <v>0</v>
      </c>
      <c r="AA644" s="31">
        <v>0</v>
      </c>
      <c r="AB644" s="31">
        <v>0</v>
      </c>
      <c r="AC644" s="31">
        <f t="shared" si="255"/>
        <v>0</v>
      </c>
      <c r="AD644" s="31">
        <v>100000</v>
      </c>
      <c r="AE644" s="31">
        <v>0</v>
      </c>
      <c r="AF644" s="34">
        <v>2021</v>
      </c>
      <c r="AG644" s="34" t="s">
        <v>274</v>
      </c>
      <c r="AH644" s="35" t="s">
        <v>274</v>
      </c>
    </row>
    <row r="645" spans="1:34" ht="61.5" x14ac:dyDescent="0.85">
      <c r="A645" s="20">
        <v>1</v>
      </c>
      <c r="B645" s="66">
        <f>SUBTOTAL(103,$A$567:A645)</f>
        <v>79</v>
      </c>
      <c r="C645" s="24" t="s">
        <v>613</v>
      </c>
      <c r="D645" s="31">
        <f t="shared" si="242"/>
        <v>100000</v>
      </c>
      <c r="E645" s="31">
        <v>0</v>
      </c>
      <c r="F645" s="31">
        <v>0</v>
      </c>
      <c r="G645" s="31">
        <v>0</v>
      </c>
      <c r="H645" s="31">
        <v>0</v>
      </c>
      <c r="I645" s="31">
        <v>0</v>
      </c>
      <c r="J645" s="31">
        <v>0</v>
      </c>
      <c r="K645" s="33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v>0</v>
      </c>
      <c r="Y645" s="31">
        <v>0</v>
      </c>
      <c r="Z645" s="31">
        <v>0</v>
      </c>
      <c r="AA645" s="31">
        <v>0</v>
      </c>
      <c r="AB645" s="31">
        <v>0</v>
      </c>
      <c r="AC645" s="31">
        <f t="shared" si="255"/>
        <v>0</v>
      </c>
      <c r="AD645" s="31">
        <v>100000</v>
      </c>
      <c r="AE645" s="31">
        <v>0</v>
      </c>
      <c r="AF645" s="34">
        <v>2021</v>
      </c>
      <c r="AG645" s="34" t="s">
        <v>274</v>
      </c>
      <c r="AH645" s="35" t="s">
        <v>274</v>
      </c>
    </row>
    <row r="646" spans="1:34" ht="61.5" x14ac:dyDescent="0.85">
      <c r="A646" s="20">
        <v>1</v>
      </c>
      <c r="B646" s="66">
        <f>SUBTOTAL(103,$A$567:A646)</f>
        <v>80</v>
      </c>
      <c r="C646" s="24" t="s">
        <v>614</v>
      </c>
      <c r="D646" s="31">
        <f t="shared" si="242"/>
        <v>100000</v>
      </c>
      <c r="E646" s="31">
        <v>0</v>
      </c>
      <c r="F646" s="31">
        <v>0</v>
      </c>
      <c r="G646" s="31">
        <v>0</v>
      </c>
      <c r="H646" s="31">
        <v>0</v>
      </c>
      <c r="I646" s="31">
        <v>0</v>
      </c>
      <c r="J646" s="31">
        <v>0</v>
      </c>
      <c r="K646" s="33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v>0</v>
      </c>
      <c r="Y646" s="31">
        <v>0</v>
      </c>
      <c r="Z646" s="31">
        <v>0</v>
      </c>
      <c r="AA646" s="31">
        <v>0</v>
      </c>
      <c r="AB646" s="31">
        <v>0</v>
      </c>
      <c r="AC646" s="31">
        <f t="shared" si="255"/>
        <v>0</v>
      </c>
      <c r="AD646" s="31">
        <v>100000</v>
      </c>
      <c r="AE646" s="31">
        <v>0</v>
      </c>
      <c r="AF646" s="34">
        <v>2021</v>
      </c>
      <c r="AG646" s="34" t="s">
        <v>274</v>
      </c>
      <c r="AH646" s="35" t="s">
        <v>274</v>
      </c>
    </row>
    <row r="647" spans="1:34" ht="61.5" x14ac:dyDescent="0.85">
      <c r="A647" s="20">
        <v>1</v>
      </c>
      <c r="B647" s="66">
        <f>SUBTOTAL(103,$A$567:A647)</f>
        <v>81</v>
      </c>
      <c r="C647" s="24" t="s">
        <v>615</v>
      </c>
      <c r="D647" s="31">
        <f t="shared" si="242"/>
        <v>100000</v>
      </c>
      <c r="E647" s="31">
        <v>0</v>
      </c>
      <c r="F647" s="31">
        <v>0</v>
      </c>
      <c r="G647" s="31">
        <v>0</v>
      </c>
      <c r="H647" s="31">
        <v>0</v>
      </c>
      <c r="I647" s="31">
        <v>0</v>
      </c>
      <c r="J647" s="31">
        <v>0</v>
      </c>
      <c r="K647" s="33">
        <v>0</v>
      </c>
      <c r="L647" s="31">
        <v>0</v>
      </c>
      <c r="M647" s="31">
        <v>0</v>
      </c>
      <c r="N647" s="31">
        <v>0</v>
      </c>
      <c r="O647" s="31">
        <v>0</v>
      </c>
      <c r="P647" s="31">
        <v>0</v>
      </c>
      <c r="Q647" s="31">
        <v>0</v>
      </c>
      <c r="R647" s="31">
        <v>0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v>0</v>
      </c>
      <c r="Y647" s="31">
        <v>0</v>
      </c>
      <c r="Z647" s="31">
        <v>0</v>
      </c>
      <c r="AA647" s="31">
        <v>0</v>
      </c>
      <c r="AB647" s="31">
        <v>0</v>
      </c>
      <c r="AC647" s="31">
        <f t="shared" si="255"/>
        <v>0</v>
      </c>
      <c r="AD647" s="31">
        <v>100000</v>
      </c>
      <c r="AE647" s="31">
        <v>0</v>
      </c>
      <c r="AF647" s="34">
        <v>2021</v>
      </c>
      <c r="AG647" s="34" t="s">
        <v>274</v>
      </c>
      <c r="AH647" s="35" t="s">
        <v>274</v>
      </c>
    </row>
    <row r="648" spans="1:34" ht="61.5" x14ac:dyDescent="0.85">
      <c r="A648" s="20">
        <v>1</v>
      </c>
      <c r="B648" s="66">
        <f>SUBTOTAL(103,$A$567:A648)</f>
        <v>82</v>
      </c>
      <c r="C648" s="24" t="s">
        <v>616</v>
      </c>
      <c r="D648" s="31">
        <f t="shared" si="242"/>
        <v>100000</v>
      </c>
      <c r="E648" s="31">
        <v>0</v>
      </c>
      <c r="F648" s="31">
        <v>0</v>
      </c>
      <c r="G648" s="31">
        <v>0</v>
      </c>
      <c r="H648" s="31">
        <v>0</v>
      </c>
      <c r="I648" s="31">
        <v>0</v>
      </c>
      <c r="J648" s="31">
        <v>0</v>
      </c>
      <c r="K648" s="33">
        <v>0</v>
      </c>
      <c r="L648" s="31">
        <v>0</v>
      </c>
      <c r="M648" s="31">
        <v>0</v>
      </c>
      <c r="N648" s="31">
        <v>0</v>
      </c>
      <c r="O648" s="31">
        <v>0</v>
      </c>
      <c r="P648" s="31">
        <v>0</v>
      </c>
      <c r="Q648" s="31">
        <v>0</v>
      </c>
      <c r="R648" s="31">
        <v>0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v>0</v>
      </c>
      <c r="Y648" s="31">
        <v>0</v>
      </c>
      <c r="Z648" s="31">
        <v>0</v>
      </c>
      <c r="AA648" s="31">
        <v>0</v>
      </c>
      <c r="AB648" s="31">
        <v>0</v>
      </c>
      <c r="AC648" s="31">
        <f t="shared" si="255"/>
        <v>0</v>
      </c>
      <c r="AD648" s="31">
        <v>100000</v>
      </c>
      <c r="AE648" s="31">
        <v>0</v>
      </c>
      <c r="AF648" s="34">
        <v>2021</v>
      </c>
      <c r="AG648" s="34" t="s">
        <v>274</v>
      </c>
      <c r="AH648" s="35" t="s">
        <v>274</v>
      </c>
    </row>
    <row r="649" spans="1:34" ht="61.5" x14ac:dyDescent="0.85">
      <c r="A649" s="20">
        <v>1</v>
      </c>
      <c r="B649" s="66">
        <f>SUBTOTAL(103,$A$567:A649)</f>
        <v>83</v>
      </c>
      <c r="C649" s="24" t="s">
        <v>617</v>
      </c>
      <c r="D649" s="31">
        <f t="shared" si="242"/>
        <v>100000</v>
      </c>
      <c r="E649" s="31">
        <v>0</v>
      </c>
      <c r="F649" s="31">
        <v>0</v>
      </c>
      <c r="G649" s="31">
        <v>0</v>
      </c>
      <c r="H649" s="31">
        <v>0</v>
      </c>
      <c r="I649" s="31">
        <v>0</v>
      </c>
      <c r="J649" s="31">
        <v>0</v>
      </c>
      <c r="K649" s="33">
        <v>0</v>
      </c>
      <c r="L649" s="31">
        <v>0</v>
      </c>
      <c r="M649" s="31">
        <v>0</v>
      </c>
      <c r="N649" s="31">
        <v>0</v>
      </c>
      <c r="O649" s="31">
        <v>0</v>
      </c>
      <c r="P649" s="31">
        <v>0</v>
      </c>
      <c r="Q649" s="31">
        <v>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1">
        <v>0</v>
      </c>
      <c r="Y649" s="31">
        <v>0</v>
      </c>
      <c r="Z649" s="31">
        <v>0</v>
      </c>
      <c r="AA649" s="31">
        <v>0</v>
      </c>
      <c r="AB649" s="31">
        <v>0</v>
      </c>
      <c r="AC649" s="31">
        <f t="shared" si="255"/>
        <v>0</v>
      </c>
      <c r="AD649" s="31">
        <v>100000</v>
      </c>
      <c r="AE649" s="31">
        <v>0</v>
      </c>
      <c r="AF649" s="34">
        <v>2021</v>
      </c>
      <c r="AG649" s="34" t="s">
        <v>274</v>
      </c>
      <c r="AH649" s="35" t="s">
        <v>274</v>
      </c>
    </row>
    <row r="650" spans="1:34" ht="61.5" x14ac:dyDescent="0.85">
      <c r="A650" s="20">
        <v>1</v>
      </c>
      <c r="B650" s="66">
        <f>SUBTOTAL(103,$A$567:A650)</f>
        <v>84</v>
      </c>
      <c r="C650" s="24" t="s">
        <v>618</v>
      </c>
      <c r="D650" s="31">
        <f t="shared" si="242"/>
        <v>100000</v>
      </c>
      <c r="E650" s="31">
        <v>0</v>
      </c>
      <c r="F650" s="31">
        <v>0</v>
      </c>
      <c r="G650" s="31">
        <v>0</v>
      </c>
      <c r="H650" s="31">
        <v>0</v>
      </c>
      <c r="I650" s="31">
        <v>0</v>
      </c>
      <c r="J650" s="31">
        <v>0</v>
      </c>
      <c r="K650" s="33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1">
        <v>0</v>
      </c>
      <c r="Y650" s="31">
        <v>0</v>
      </c>
      <c r="Z650" s="31">
        <v>0</v>
      </c>
      <c r="AA650" s="31">
        <v>0</v>
      </c>
      <c r="AB650" s="31">
        <v>0</v>
      </c>
      <c r="AC650" s="31">
        <f t="shared" si="255"/>
        <v>0</v>
      </c>
      <c r="AD650" s="31">
        <v>100000</v>
      </c>
      <c r="AE650" s="31">
        <v>0</v>
      </c>
      <c r="AF650" s="34">
        <v>2021</v>
      </c>
      <c r="AG650" s="34" t="s">
        <v>274</v>
      </c>
      <c r="AH650" s="35" t="s">
        <v>274</v>
      </c>
    </row>
    <row r="651" spans="1:34" ht="61.5" x14ac:dyDescent="0.85">
      <c r="A651" s="20">
        <v>1</v>
      </c>
      <c r="B651" s="66">
        <f>SUBTOTAL(103,$A$567:A651)</f>
        <v>85</v>
      </c>
      <c r="C651" s="24" t="s">
        <v>619</v>
      </c>
      <c r="D651" s="31">
        <f t="shared" si="242"/>
        <v>100000</v>
      </c>
      <c r="E651" s="31">
        <v>0</v>
      </c>
      <c r="F651" s="31">
        <v>0</v>
      </c>
      <c r="G651" s="31">
        <v>0</v>
      </c>
      <c r="H651" s="31">
        <v>0</v>
      </c>
      <c r="I651" s="31">
        <v>0</v>
      </c>
      <c r="J651" s="31">
        <v>0</v>
      </c>
      <c r="K651" s="33">
        <v>0</v>
      </c>
      <c r="L651" s="31">
        <v>0</v>
      </c>
      <c r="M651" s="31">
        <v>0</v>
      </c>
      <c r="N651" s="31">
        <v>0</v>
      </c>
      <c r="O651" s="31">
        <v>0</v>
      </c>
      <c r="P651" s="31">
        <v>0</v>
      </c>
      <c r="Q651" s="31">
        <v>0</v>
      </c>
      <c r="R651" s="31">
        <v>0</v>
      </c>
      <c r="S651" s="31">
        <v>0</v>
      </c>
      <c r="T651" s="31">
        <v>0</v>
      </c>
      <c r="U651" s="31">
        <v>0</v>
      </c>
      <c r="V651" s="31">
        <v>0</v>
      </c>
      <c r="W651" s="31">
        <v>0</v>
      </c>
      <c r="X651" s="31">
        <v>0</v>
      </c>
      <c r="Y651" s="31">
        <v>0</v>
      </c>
      <c r="Z651" s="31">
        <v>0</v>
      </c>
      <c r="AA651" s="31">
        <v>0</v>
      </c>
      <c r="AB651" s="31">
        <v>0</v>
      </c>
      <c r="AC651" s="31">
        <f t="shared" si="255"/>
        <v>0</v>
      </c>
      <c r="AD651" s="31">
        <v>100000</v>
      </c>
      <c r="AE651" s="31">
        <v>0</v>
      </c>
      <c r="AF651" s="34">
        <v>2021</v>
      </c>
      <c r="AG651" s="34" t="s">
        <v>274</v>
      </c>
      <c r="AH651" s="35" t="s">
        <v>274</v>
      </c>
    </row>
    <row r="652" spans="1:34" ht="61.5" x14ac:dyDescent="0.85">
      <c r="A652" s="20">
        <v>1</v>
      </c>
      <c r="B652" s="66">
        <f>SUBTOTAL(103,$A$567:A652)</f>
        <v>86</v>
      </c>
      <c r="C652" s="24" t="s">
        <v>620</v>
      </c>
      <c r="D652" s="31">
        <f t="shared" si="242"/>
        <v>100000</v>
      </c>
      <c r="E652" s="31">
        <v>0</v>
      </c>
      <c r="F652" s="31">
        <v>0</v>
      </c>
      <c r="G652" s="31">
        <v>0</v>
      </c>
      <c r="H652" s="31">
        <v>0</v>
      </c>
      <c r="I652" s="31">
        <v>0</v>
      </c>
      <c r="J652" s="31">
        <v>0</v>
      </c>
      <c r="K652" s="33">
        <v>0</v>
      </c>
      <c r="L652" s="31">
        <v>0</v>
      </c>
      <c r="M652" s="31">
        <v>0</v>
      </c>
      <c r="N652" s="31">
        <v>0</v>
      </c>
      <c r="O652" s="31">
        <v>0</v>
      </c>
      <c r="P652" s="31">
        <v>0</v>
      </c>
      <c r="Q652" s="31">
        <v>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1">
        <v>0</v>
      </c>
      <c r="Y652" s="31">
        <v>0</v>
      </c>
      <c r="Z652" s="31">
        <v>0</v>
      </c>
      <c r="AA652" s="31">
        <v>0</v>
      </c>
      <c r="AB652" s="31">
        <v>0</v>
      </c>
      <c r="AC652" s="31">
        <f t="shared" si="255"/>
        <v>0</v>
      </c>
      <c r="AD652" s="31">
        <v>100000</v>
      </c>
      <c r="AE652" s="31">
        <v>0</v>
      </c>
      <c r="AF652" s="34">
        <v>2021</v>
      </c>
      <c r="AG652" s="34" t="s">
        <v>274</v>
      </c>
      <c r="AH652" s="35" t="s">
        <v>274</v>
      </c>
    </row>
    <row r="653" spans="1:34" ht="61.5" x14ac:dyDescent="0.85">
      <c r="A653" s="20">
        <v>1</v>
      </c>
      <c r="B653" s="66">
        <f>SUBTOTAL(103,$A$567:A653)</f>
        <v>87</v>
      </c>
      <c r="C653" s="24" t="s">
        <v>621</v>
      </c>
      <c r="D653" s="31">
        <f t="shared" si="242"/>
        <v>100000</v>
      </c>
      <c r="E653" s="31">
        <v>0</v>
      </c>
      <c r="F653" s="31">
        <v>0</v>
      </c>
      <c r="G653" s="31">
        <v>0</v>
      </c>
      <c r="H653" s="31">
        <v>0</v>
      </c>
      <c r="I653" s="31">
        <v>0</v>
      </c>
      <c r="J653" s="31">
        <v>0</v>
      </c>
      <c r="K653" s="33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0</v>
      </c>
      <c r="S653" s="31">
        <v>0</v>
      </c>
      <c r="T653" s="31">
        <v>0</v>
      </c>
      <c r="U653" s="31">
        <v>0</v>
      </c>
      <c r="V653" s="31">
        <v>0</v>
      </c>
      <c r="W653" s="31">
        <v>0</v>
      </c>
      <c r="X653" s="31">
        <v>0</v>
      </c>
      <c r="Y653" s="31">
        <v>0</v>
      </c>
      <c r="Z653" s="31">
        <v>0</v>
      </c>
      <c r="AA653" s="31">
        <v>0</v>
      </c>
      <c r="AB653" s="31">
        <v>0</v>
      </c>
      <c r="AC653" s="31">
        <f t="shared" si="255"/>
        <v>0</v>
      </c>
      <c r="AD653" s="31">
        <v>100000</v>
      </c>
      <c r="AE653" s="31">
        <v>0</v>
      </c>
      <c r="AF653" s="34">
        <v>2021</v>
      </c>
      <c r="AG653" s="34" t="s">
        <v>274</v>
      </c>
      <c r="AH653" s="35" t="s">
        <v>274</v>
      </c>
    </row>
    <row r="654" spans="1:34" ht="61.5" x14ac:dyDescent="0.85">
      <c r="A654" s="20">
        <v>1</v>
      </c>
      <c r="B654" s="66">
        <f>SUBTOTAL(103,$A$567:A654)</f>
        <v>88</v>
      </c>
      <c r="C654" s="24" t="s">
        <v>622</v>
      </c>
      <c r="D654" s="31">
        <f t="shared" si="242"/>
        <v>100000</v>
      </c>
      <c r="E654" s="31">
        <v>0</v>
      </c>
      <c r="F654" s="31">
        <v>0</v>
      </c>
      <c r="G654" s="31">
        <v>0</v>
      </c>
      <c r="H654" s="31">
        <v>0</v>
      </c>
      <c r="I654" s="31">
        <v>0</v>
      </c>
      <c r="J654" s="31">
        <v>0</v>
      </c>
      <c r="K654" s="33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1">
        <v>0</v>
      </c>
      <c r="Y654" s="31">
        <v>0</v>
      </c>
      <c r="Z654" s="31">
        <v>0</v>
      </c>
      <c r="AA654" s="31">
        <v>0</v>
      </c>
      <c r="AB654" s="31">
        <v>0</v>
      </c>
      <c r="AC654" s="31">
        <f t="shared" si="255"/>
        <v>0</v>
      </c>
      <c r="AD654" s="31">
        <v>100000</v>
      </c>
      <c r="AE654" s="31">
        <v>0</v>
      </c>
      <c r="AF654" s="34">
        <v>2021</v>
      </c>
      <c r="AG654" s="34" t="s">
        <v>274</v>
      </c>
      <c r="AH654" s="35" t="s">
        <v>274</v>
      </c>
    </row>
    <row r="655" spans="1:34" ht="61.5" x14ac:dyDescent="0.85">
      <c r="A655" s="20">
        <v>1</v>
      </c>
      <c r="B655" s="66">
        <f>SUBTOTAL(103,$A$567:A655)</f>
        <v>89</v>
      </c>
      <c r="C655" s="24" t="s">
        <v>623</v>
      </c>
      <c r="D655" s="31">
        <f t="shared" si="242"/>
        <v>100000</v>
      </c>
      <c r="E655" s="31">
        <v>0</v>
      </c>
      <c r="F655" s="31">
        <v>0</v>
      </c>
      <c r="G655" s="31">
        <v>0</v>
      </c>
      <c r="H655" s="31">
        <v>0</v>
      </c>
      <c r="I655" s="31">
        <v>0</v>
      </c>
      <c r="J655" s="31">
        <v>0</v>
      </c>
      <c r="K655" s="33">
        <v>0</v>
      </c>
      <c r="L655" s="31">
        <v>0</v>
      </c>
      <c r="M655" s="31">
        <v>0</v>
      </c>
      <c r="N655" s="31">
        <v>0</v>
      </c>
      <c r="O655" s="31">
        <v>0</v>
      </c>
      <c r="P655" s="31">
        <v>0</v>
      </c>
      <c r="Q655" s="31">
        <v>0</v>
      </c>
      <c r="R655" s="31">
        <v>0</v>
      </c>
      <c r="S655" s="31">
        <v>0</v>
      </c>
      <c r="T655" s="31">
        <v>0</v>
      </c>
      <c r="U655" s="31">
        <v>0</v>
      </c>
      <c r="V655" s="31">
        <v>0</v>
      </c>
      <c r="W655" s="31">
        <v>0</v>
      </c>
      <c r="X655" s="31">
        <v>0</v>
      </c>
      <c r="Y655" s="31">
        <v>0</v>
      </c>
      <c r="Z655" s="31">
        <v>0</v>
      </c>
      <c r="AA655" s="31">
        <v>0</v>
      </c>
      <c r="AB655" s="31">
        <v>0</v>
      </c>
      <c r="AC655" s="31">
        <f t="shared" si="255"/>
        <v>0</v>
      </c>
      <c r="AD655" s="31">
        <v>100000</v>
      </c>
      <c r="AE655" s="31">
        <v>0</v>
      </c>
      <c r="AF655" s="34">
        <v>2021</v>
      </c>
      <c r="AG655" s="34" t="s">
        <v>274</v>
      </c>
      <c r="AH655" s="35" t="s">
        <v>274</v>
      </c>
    </row>
    <row r="656" spans="1:34" ht="61.5" x14ac:dyDescent="0.85">
      <c r="A656" s="20">
        <v>1</v>
      </c>
      <c r="B656" s="66">
        <f>SUBTOTAL(103,$A$567:A656)</f>
        <v>90</v>
      </c>
      <c r="C656" s="24" t="s">
        <v>624</v>
      </c>
      <c r="D656" s="31">
        <f t="shared" si="242"/>
        <v>100000</v>
      </c>
      <c r="E656" s="31">
        <v>0</v>
      </c>
      <c r="F656" s="31">
        <v>0</v>
      </c>
      <c r="G656" s="31">
        <v>0</v>
      </c>
      <c r="H656" s="31">
        <v>0</v>
      </c>
      <c r="I656" s="31">
        <v>0</v>
      </c>
      <c r="J656" s="31">
        <v>0</v>
      </c>
      <c r="K656" s="33">
        <v>0</v>
      </c>
      <c r="L656" s="31">
        <v>0</v>
      </c>
      <c r="M656" s="31">
        <v>0</v>
      </c>
      <c r="N656" s="31">
        <v>0</v>
      </c>
      <c r="O656" s="31">
        <v>0</v>
      </c>
      <c r="P656" s="31">
        <v>0</v>
      </c>
      <c r="Q656" s="31">
        <v>0</v>
      </c>
      <c r="R656" s="31">
        <v>0</v>
      </c>
      <c r="S656" s="31">
        <v>0</v>
      </c>
      <c r="T656" s="31">
        <v>0</v>
      </c>
      <c r="U656" s="31">
        <v>0</v>
      </c>
      <c r="V656" s="31">
        <v>0</v>
      </c>
      <c r="W656" s="31">
        <v>0</v>
      </c>
      <c r="X656" s="31">
        <v>0</v>
      </c>
      <c r="Y656" s="31">
        <v>0</v>
      </c>
      <c r="Z656" s="31">
        <v>0</v>
      </c>
      <c r="AA656" s="31">
        <v>0</v>
      </c>
      <c r="AB656" s="31">
        <v>0</v>
      </c>
      <c r="AC656" s="31">
        <f t="shared" si="255"/>
        <v>0</v>
      </c>
      <c r="AD656" s="31">
        <v>100000</v>
      </c>
      <c r="AE656" s="31">
        <v>0</v>
      </c>
      <c r="AF656" s="34">
        <v>2021</v>
      </c>
      <c r="AG656" s="34" t="s">
        <v>274</v>
      </c>
      <c r="AH656" s="35" t="s">
        <v>274</v>
      </c>
    </row>
    <row r="657" spans="1:34" ht="61.5" x14ac:dyDescent="0.85">
      <c r="A657" s="20">
        <v>1</v>
      </c>
      <c r="B657" s="66">
        <f>SUBTOTAL(103,$A$567:A657)</f>
        <v>91</v>
      </c>
      <c r="C657" s="24" t="s">
        <v>625</v>
      </c>
      <c r="D657" s="31">
        <f t="shared" si="242"/>
        <v>120000.25</v>
      </c>
      <c r="E657" s="31">
        <v>0</v>
      </c>
      <c r="F657" s="31">
        <v>0</v>
      </c>
      <c r="G657" s="31">
        <v>0</v>
      </c>
      <c r="H657" s="31">
        <v>0</v>
      </c>
      <c r="I657" s="31">
        <v>0</v>
      </c>
      <c r="J657" s="31">
        <v>0</v>
      </c>
      <c r="K657" s="33">
        <v>0</v>
      </c>
      <c r="L657" s="31">
        <v>0</v>
      </c>
      <c r="M657" s="31">
        <v>0</v>
      </c>
      <c r="N657" s="31">
        <v>0</v>
      </c>
      <c r="O657" s="31">
        <v>0</v>
      </c>
      <c r="P657" s="31">
        <v>0</v>
      </c>
      <c r="Q657" s="31">
        <v>0</v>
      </c>
      <c r="R657" s="31">
        <v>0</v>
      </c>
      <c r="S657" s="31">
        <v>0</v>
      </c>
      <c r="T657" s="31">
        <v>0</v>
      </c>
      <c r="U657" s="31">
        <v>0</v>
      </c>
      <c r="V657" s="31">
        <v>0</v>
      </c>
      <c r="W657" s="31">
        <v>0</v>
      </c>
      <c r="X657" s="31">
        <v>0</v>
      </c>
      <c r="Y657" s="31">
        <v>0</v>
      </c>
      <c r="Z657" s="31">
        <v>0</v>
      </c>
      <c r="AA657" s="31">
        <v>0</v>
      </c>
      <c r="AB657" s="31">
        <v>0</v>
      </c>
      <c r="AC657" s="31">
        <f t="shared" si="255"/>
        <v>0</v>
      </c>
      <c r="AD657" s="31">
        <v>120000.25</v>
      </c>
      <c r="AE657" s="31">
        <v>0</v>
      </c>
      <c r="AF657" s="34">
        <v>2021</v>
      </c>
      <c r="AG657" s="34" t="s">
        <v>274</v>
      </c>
      <c r="AH657" s="35" t="s">
        <v>274</v>
      </c>
    </row>
    <row r="658" spans="1:34" ht="61.5" x14ac:dyDescent="0.85">
      <c r="A658" s="20">
        <v>1</v>
      </c>
      <c r="B658" s="66">
        <f>SUBTOTAL(103,$A$567:A658)</f>
        <v>92</v>
      </c>
      <c r="C658" s="24" t="s">
        <v>626</v>
      </c>
      <c r="D658" s="31">
        <f t="shared" si="242"/>
        <v>100000</v>
      </c>
      <c r="E658" s="31">
        <v>0</v>
      </c>
      <c r="F658" s="31">
        <v>0</v>
      </c>
      <c r="G658" s="31">
        <v>0</v>
      </c>
      <c r="H658" s="31">
        <v>0</v>
      </c>
      <c r="I658" s="31">
        <v>0</v>
      </c>
      <c r="J658" s="31">
        <v>0</v>
      </c>
      <c r="K658" s="33">
        <v>0</v>
      </c>
      <c r="L658" s="31">
        <v>0</v>
      </c>
      <c r="M658" s="31">
        <v>0</v>
      </c>
      <c r="N658" s="31">
        <v>0</v>
      </c>
      <c r="O658" s="31">
        <v>0</v>
      </c>
      <c r="P658" s="31">
        <v>0</v>
      </c>
      <c r="Q658" s="31">
        <v>0</v>
      </c>
      <c r="R658" s="31">
        <v>0</v>
      </c>
      <c r="S658" s="31">
        <v>0</v>
      </c>
      <c r="T658" s="31">
        <v>0</v>
      </c>
      <c r="U658" s="31">
        <v>0</v>
      </c>
      <c r="V658" s="31">
        <v>0</v>
      </c>
      <c r="W658" s="31">
        <v>0</v>
      </c>
      <c r="X658" s="31">
        <v>0</v>
      </c>
      <c r="Y658" s="31">
        <v>0</v>
      </c>
      <c r="Z658" s="31">
        <v>0</v>
      </c>
      <c r="AA658" s="31">
        <v>0</v>
      </c>
      <c r="AB658" s="31">
        <v>0</v>
      </c>
      <c r="AC658" s="31">
        <f t="shared" si="255"/>
        <v>0</v>
      </c>
      <c r="AD658" s="31">
        <v>100000</v>
      </c>
      <c r="AE658" s="31">
        <v>0</v>
      </c>
      <c r="AF658" s="34">
        <v>2021</v>
      </c>
      <c r="AG658" s="34" t="s">
        <v>274</v>
      </c>
      <c r="AH658" s="35" t="s">
        <v>274</v>
      </c>
    </row>
    <row r="659" spans="1:34" ht="61.5" x14ac:dyDescent="0.85">
      <c r="A659" s="20">
        <v>1</v>
      </c>
      <c r="B659" s="66">
        <f>SUBTOTAL(103,$A$567:A659)</f>
        <v>93</v>
      </c>
      <c r="C659" s="24" t="s">
        <v>627</v>
      </c>
      <c r="D659" s="31">
        <f t="shared" si="242"/>
        <v>100000</v>
      </c>
      <c r="E659" s="31">
        <v>0</v>
      </c>
      <c r="F659" s="31">
        <v>0</v>
      </c>
      <c r="G659" s="31">
        <v>0</v>
      </c>
      <c r="H659" s="31">
        <v>0</v>
      </c>
      <c r="I659" s="31">
        <v>0</v>
      </c>
      <c r="J659" s="31">
        <v>0</v>
      </c>
      <c r="K659" s="33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0</v>
      </c>
      <c r="S659" s="31">
        <v>0</v>
      </c>
      <c r="T659" s="31">
        <v>0</v>
      </c>
      <c r="U659" s="31">
        <v>0</v>
      </c>
      <c r="V659" s="31">
        <v>0</v>
      </c>
      <c r="W659" s="31">
        <v>0</v>
      </c>
      <c r="X659" s="31">
        <v>0</v>
      </c>
      <c r="Y659" s="31">
        <v>0</v>
      </c>
      <c r="Z659" s="31">
        <v>0</v>
      </c>
      <c r="AA659" s="31">
        <v>0</v>
      </c>
      <c r="AB659" s="31">
        <v>0</v>
      </c>
      <c r="AC659" s="31">
        <f t="shared" si="255"/>
        <v>0</v>
      </c>
      <c r="AD659" s="31">
        <v>100000</v>
      </c>
      <c r="AE659" s="31">
        <v>0</v>
      </c>
      <c r="AF659" s="34">
        <v>2021</v>
      </c>
      <c r="AG659" s="34" t="s">
        <v>274</v>
      </c>
      <c r="AH659" s="35" t="s">
        <v>274</v>
      </c>
    </row>
    <row r="660" spans="1:34" ht="61.5" x14ac:dyDescent="0.85">
      <c r="A660" s="20">
        <v>1</v>
      </c>
      <c r="B660" s="66">
        <f>SUBTOTAL(103,$A$567:A660)</f>
        <v>94</v>
      </c>
      <c r="C660" s="24" t="s">
        <v>628</v>
      </c>
      <c r="D660" s="31">
        <f t="shared" si="242"/>
        <v>100000</v>
      </c>
      <c r="E660" s="31">
        <v>0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3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  <c r="V660" s="31">
        <v>0</v>
      </c>
      <c r="W660" s="31">
        <v>0</v>
      </c>
      <c r="X660" s="31">
        <v>0</v>
      </c>
      <c r="Y660" s="31">
        <v>0</v>
      </c>
      <c r="Z660" s="31">
        <v>0</v>
      </c>
      <c r="AA660" s="31">
        <v>0</v>
      </c>
      <c r="AB660" s="31">
        <v>0</v>
      </c>
      <c r="AC660" s="31">
        <f t="shared" si="255"/>
        <v>0</v>
      </c>
      <c r="AD660" s="31">
        <v>100000</v>
      </c>
      <c r="AE660" s="31">
        <v>0</v>
      </c>
      <c r="AF660" s="34">
        <v>2021</v>
      </c>
      <c r="AG660" s="34" t="s">
        <v>274</v>
      </c>
      <c r="AH660" s="35" t="s">
        <v>274</v>
      </c>
    </row>
    <row r="661" spans="1:34" ht="61.5" x14ac:dyDescent="0.85">
      <c r="A661" s="20">
        <v>1</v>
      </c>
      <c r="B661" s="66">
        <f>SUBTOTAL(103,$A$567:A661)</f>
        <v>95</v>
      </c>
      <c r="C661" s="24" t="s">
        <v>629</v>
      </c>
      <c r="D661" s="31">
        <f t="shared" si="242"/>
        <v>100000</v>
      </c>
      <c r="E661" s="31">
        <v>0</v>
      </c>
      <c r="F661" s="31">
        <v>0</v>
      </c>
      <c r="G661" s="31">
        <v>0</v>
      </c>
      <c r="H661" s="31">
        <v>0</v>
      </c>
      <c r="I661" s="31">
        <v>0</v>
      </c>
      <c r="J661" s="31">
        <v>0</v>
      </c>
      <c r="K661" s="33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0</v>
      </c>
      <c r="S661" s="31">
        <v>0</v>
      </c>
      <c r="T661" s="31">
        <v>0</v>
      </c>
      <c r="U661" s="31">
        <v>0</v>
      </c>
      <c r="V661" s="31">
        <v>0</v>
      </c>
      <c r="W661" s="31">
        <v>0</v>
      </c>
      <c r="X661" s="31">
        <v>0</v>
      </c>
      <c r="Y661" s="31">
        <v>0</v>
      </c>
      <c r="Z661" s="31">
        <v>0</v>
      </c>
      <c r="AA661" s="31">
        <v>0</v>
      </c>
      <c r="AB661" s="31">
        <v>0</v>
      </c>
      <c r="AC661" s="31">
        <f t="shared" si="255"/>
        <v>0</v>
      </c>
      <c r="AD661" s="31">
        <v>100000</v>
      </c>
      <c r="AE661" s="31">
        <v>0</v>
      </c>
      <c r="AF661" s="34">
        <v>2021</v>
      </c>
      <c r="AG661" s="34" t="s">
        <v>274</v>
      </c>
      <c r="AH661" s="35" t="s">
        <v>274</v>
      </c>
    </row>
    <row r="662" spans="1:34" ht="61.5" x14ac:dyDescent="0.85">
      <c r="A662" s="20">
        <v>1</v>
      </c>
      <c r="B662" s="66">
        <f>SUBTOTAL(103,$A$567:A662)</f>
        <v>96</v>
      </c>
      <c r="C662" s="24" t="s">
        <v>630</v>
      </c>
      <c r="D662" s="31">
        <f t="shared" si="242"/>
        <v>100000</v>
      </c>
      <c r="E662" s="31">
        <v>0</v>
      </c>
      <c r="F662" s="31">
        <v>0</v>
      </c>
      <c r="G662" s="31">
        <v>0</v>
      </c>
      <c r="H662" s="31">
        <v>0</v>
      </c>
      <c r="I662" s="31">
        <v>0</v>
      </c>
      <c r="J662" s="31">
        <v>0</v>
      </c>
      <c r="K662" s="33">
        <v>0</v>
      </c>
      <c r="L662" s="31">
        <v>0</v>
      </c>
      <c r="M662" s="31">
        <v>0</v>
      </c>
      <c r="N662" s="31">
        <v>0</v>
      </c>
      <c r="O662" s="31">
        <v>0</v>
      </c>
      <c r="P662" s="31">
        <v>0</v>
      </c>
      <c r="Q662" s="31">
        <v>0</v>
      </c>
      <c r="R662" s="31">
        <v>0</v>
      </c>
      <c r="S662" s="31">
        <v>0</v>
      </c>
      <c r="T662" s="31">
        <v>0</v>
      </c>
      <c r="U662" s="31">
        <v>0</v>
      </c>
      <c r="V662" s="31">
        <v>0</v>
      </c>
      <c r="W662" s="31">
        <v>0</v>
      </c>
      <c r="X662" s="31">
        <v>0</v>
      </c>
      <c r="Y662" s="31">
        <v>0</v>
      </c>
      <c r="Z662" s="31">
        <v>0</v>
      </c>
      <c r="AA662" s="31">
        <v>0</v>
      </c>
      <c r="AB662" s="31">
        <v>0</v>
      </c>
      <c r="AC662" s="31">
        <f t="shared" si="255"/>
        <v>0</v>
      </c>
      <c r="AD662" s="31">
        <v>100000</v>
      </c>
      <c r="AE662" s="31">
        <v>0</v>
      </c>
      <c r="AF662" s="34">
        <v>2021</v>
      </c>
      <c r="AG662" s="34" t="s">
        <v>274</v>
      </c>
      <c r="AH662" s="35" t="s">
        <v>274</v>
      </c>
    </row>
    <row r="663" spans="1:34" ht="61.5" x14ac:dyDescent="0.85">
      <c r="A663" s="20">
        <v>1</v>
      </c>
      <c r="B663" s="66">
        <f>SUBTOTAL(103,$A$567:A663)</f>
        <v>97</v>
      </c>
      <c r="C663" s="24" t="s">
        <v>631</v>
      </c>
      <c r="D663" s="31">
        <f t="shared" si="242"/>
        <v>100000</v>
      </c>
      <c r="E663" s="31">
        <v>0</v>
      </c>
      <c r="F663" s="31">
        <v>0</v>
      </c>
      <c r="G663" s="31">
        <v>0</v>
      </c>
      <c r="H663" s="31">
        <v>0</v>
      </c>
      <c r="I663" s="31">
        <v>0</v>
      </c>
      <c r="J663" s="31">
        <v>0</v>
      </c>
      <c r="K663" s="33">
        <v>0</v>
      </c>
      <c r="L663" s="31">
        <v>0</v>
      </c>
      <c r="M663" s="31">
        <v>0</v>
      </c>
      <c r="N663" s="31">
        <v>0</v>
      </c>
      <c r="O663" s="31">
        <v>0</v>
      </c>
      <c r="P663" s="31">
        <v>0</v>
      </c>
      <c r="Q663" s="31">
        <v>0</v>
      </c>
      <c r="R663" s="31">
        <v>0</v>
      </c>
      <c r="S663" s="31">
        <v>0</v>
      </c>
      <c r="T663" s="31">
        <v>0</v>
      </c>
      <c r="U663" s="31">
        <v>0</v>
      </c>
      <c r="V663" s="31">
        <v>0</v>
      </c>
      <c r="W663" s="31">
        <v>0</v>
      </c>
      <c r="X663" s="31">
        <v>0</v>
      </c>
      <c r="Y663" s="31">
        <v>0</v>
      </c>
      <c r="Z663" s="31">
        <v>0</v>
      </c>
      <c r="AA663" s="31">
        <v>0</v>
      </c>
      <c r="AB663" s="31">
        <v>0</v>
      </c>
      <c r="AC663" s="31">
        <f t="shared" si="255"/>
        <v>0</v>
      </c>
      <c r="AD663" s="31">
        <v>100000</v>
      </c>
      <c r="AE663" s="31">
        <v>0</v>
      </c>
      <c r="AF663" s="34">
        <v>2021</v>
      </c>
      <c r="AG663" s="34" t="s">
        <v>274</v>
      </c>
      <c r="AH663" s="35" t="s">
        <v>274</v>
      </c>
    </row>
    <row r="664" spans="1:34" ht="61.5" x14ac:dyDescent="0.85">
      <c r="A664" s="20">
        <v>1</v>
      </c>
      <c r="B664" s="66">
        <f>SUBTOTAL(103,$A$567:A664)</f>
        <v>98</v>
      </c>
      <c r="C664" s="24" t="s">
        <v>632</v>
      </c>
      <c r="D664" s="31">
        <f t="shared" si="242"/>
        <v>100000</v>
      </c>
      <c r="E664" s="31">
        <v>0</v>
      </c>
      <c r="F664" s="31">
        <v>0</v>
      </c>
      <c r="G664" s="31">
        <v>0</v>
      </c>
      <c r="H664" s="31">
        <v>0</v>
      </c>
      <c r="I664" s="31">
        <v>0</v>
      </c>
      <c r="J664" s="31">
        <v>0</v>
      </c>
      <c r="K664" s="33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  <c r="V664" s="31">
        <v>0</v>
      </c>
      <c r="W664" s="31">
        <v>0</v>
      </c>
      <c r="X664" s="31">
        <v>0</v>
      </c>
      <c r="Y664" s="31">
        <v>0</v>
      </c>
      <c r="Z664" s="31">
        <v>0</v>
      </c>
      <c r="AA664" s="31">
        <v>0</v>
      </c>
      <c r="AB664" s="31">
        <v>0</v>
      </c>
      <c r="AC664" s="31">
        <f t="shared" si="255"/>
        <v>0</v>
      </c>
      <c r="AD664" s="31">
        <v>100000</v>
      </c>
      <c r="AE664" s="31">
        <v>0</v>
      </c>
      <c r="AF664" s="34">
        <v>2021</v>
      </c>
      <c r="AG664" s="34" t="s">
        <v>274</v>
      </c>
      <c r="AH664" s="35" t="s">
        <v>274</v>
      </c>
    </row>
    <row r="665" spans="1:34" ht="61.5" x14ac:dyDescent="0.85">
      <c r="A665" s="20">
        <v>1</v>
      </c>
      <c r="B665" s="66">
        <f>SUBTOTAL(103,$A$567:A665)</f>
        <v>99</v>
      </c>
      <c r="C665" s="24" t="s">
        <v>633</v>
      </c>
      <c r="D665" s="31">
        <f t="shared" si="242"/>
        <v>100000</v>
      </c>
      <c r="E665" s="31">
        <v>0</v>
      </c>
      <c r="F665" s="31">
        <v>0</v>
      </c>
      <c r="G665" s="31">
        <v>0</v>
      </c>
      <c r="H665" s="31">
        <v>0</v>
      </c>
      <c r="I665" s="31">
        <v>0</v>
      </c>
      <c r="J665" s="31">
        <v>0</v>
      </c>
      <c r="K665" s="33">
        <v>0</v>
      </c>
      <c r="L665" s="31">
        <v>0</v>
      </c>
      <c r="M665" s="31">
        <v>0</v>
      </c>
      <c r="N665" s="31">
        <v>0</v>
      </c>
      <c r="O665" s="31">
        <v>0</v>
      </c>
      <c r="P665" s="31">
        <v>0</v>
      </c>
      <c r="Q665" s="31">
        <v>0</v>
      </c>
      <c r="R665" s="31">
        <v>0</v>
      </c>
      <c r="S665" s="31">
        <v>0</v>
      </c>
      <c r="T665" s="31">
        <v>0</v>
      </c>
      <c r="U665" s="31">
        <v>0</v>
      </c>
      <c r="V665" s="31">
        <v>0</v>
      </c>
      <c r="W665" s="31">
        <v>0</v>
      </c>
      <c r="X665" s="31">
        <v>0</v>
      </c>
      <c r="Y665" s="31">
        <v>0</v>
      </c>
      <c r="Z665" s="31">
        <v>0</v>
      </c>
      <c r="AA665" s="31">
        <v>0</v>
      </c>
      <c r="AB665" s="31">
        <v>0</v>
      </c>
      <c r="AC665" s="31">
        <f t="shared" si="255"/>
        <v>0</v>
      </c>
      <c r="AD665" s="31">
        <v>100000</v>
      </c>
      <c r="AE665" s="31">
        <v>0</v>
      </c>
      <c r="AF665" s="34">
        <v>2021</v>
      </c>
      <c r="AG665" s="34" t="s">
        <v>274</v>
      </c>
      <c r="AH665" s="35" t="s">
        <v>274</v>
      </c>
    </row>
    <row r="666" spans="1:34" ht="61.5" x14ac:dyDescent="0.85">
      <c r="A666" s="20">
        <v>1</v>
      </c>
      <c r="B666" s="66">
        <f>SUBTOTAL(103,$A$567:A666)</f>
        <v>100</v>
      </c>
      <c r="C666" s="24" t="s">
        <v>634</v>
      </c>
      <c r="D666" s="31">
        <f t="shared" si="242"/>
        <v>70000</v>
      </c>
      <c r="E666" s="31">
        <v>0</v>
      </c>
      <c r="F666" s="31">
        <v>0</v>
      </c>
      <c r="G666" s="31">
        <v>0</v>
      </c>
      <c r="H666" s="31">
        <v>0</v>
      </c>
      <c r="I666" s="31">
        <v>0</v>
      </c>
      <c r="J666" s="31">
        <v>0</v>
      </c>
      <c r="K666" s="33">
        <v>0</v>
      </c>
      <c r="L666" s="31">
        <v>0</v>
      </c>
      <c r="M666" s="31">
        <v>0</v>
      </c>
      <c r="N666" s="31">
        <v>0</v>
      </c>
      <c r="O666" s="31">
        <v>0</v>
      </c>
      <c r="P666" s="31">
        <v>0</v>
      </c>
      <c r="Q666" s="31">
        <v>0</v>
      </c>
      <c r="R666" s="31">
        <v>0</v>
      </c>
      <c r="S666" s="31">
        <v>0</v>
      </c>
      <c r="T666" s="31">
        <v>0</v>
      </c>
      <c r="U666" s="31">
        <v>0</v>
      </c>
      <c r="V666" s="31">
        <v>0</v>
      </c>
      <c r="W666" s="31">
        <v>0</v>
      </c>
      <c r="X666" s="31">
        <v>0</v>
      </c>
      <c r="Y666" s="31">
        <v>0</v>
      </c>
      <c r="Z666" s="31">
        <v>0</v>
      </c>
      <c r="AA666" s="31">
        <v>0</v>
      </c>
      <c r="AB666" s="31">
        <v>0</v>
      </c>
      <c r="AC666" s="31">
        <f t="shared" si="255"/>
        <v>0</v>
      </c>
      <c r="AD666" s="31">
        <v>70000</v>
      </c>
      <c r="AE666" s="31">
        <v>0</v>
      </c>
      <c r="AF666" s="34">
        <v>2021</v>
      </c>
      <c r="AG666" s="34" t="s">
        <v>274</v>
      </c>
      <c r="AH666" s="35" t="s">
        <v>274</v>
      </c>
    </row>
    <row r="667" spans="1:34" ht="61.5" x14ac:dyDescent="0.85">
      <c r="A667" s="20">
        <v>1</v>
      </c>
      <c r="B667" s="66">
        <f>SUBTOTAL(103,$A$567:A667)</f>
        <v>101</v>
      </c>
      <c r="C667" s="24" t="s">
        <v>635</v>
      </c>
      <c r="D667" s="31">
        <f t="shared" si="242"/>
        <v>100000</v>
      </c>
      <c r="E667" s="31">
        <v>0</v>
      </c>
      <c r="F667" s="31">
        <v>0</v>
      </c>
      <c r="G667" s="31">
        <v>0</v>
      </c>
      <c r="H667" s="31">
        <v>0</v>
      </c>
      <c r="I667" s="31">
        <v>0</v>
      </c>
      <c r="J667" s="31">
        <v>0</v>
      </c>
      <c r="K667" s="33">
        <v>0</v>
      </c>
      <c r="L667" s="31">
        <v>0</v>
      </c>
      <c r="M667" s="31">
        <v>0</v>
      </c>
      <c r="N667" s="31">
        <v>0</v>
      </c>
      <c r="O667" s="31">
        <v>0</v>
      </c>
      <c r="P667" s="31">
        <v>0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0</v>
      </c>
      <c r="W667" s="31">
        <v>0</v>
      </c>
      <c r="X667" s="31">
        <v>0</v>
      </c>
      <c r="Y667" s="31">
        <v>0</v>
      </c>
      <c r="Z667" s="31">
        <v>0</v>
      </c>
      <c r="AA667" s="31">
        <v>0</v>
      </c>
      <c r="AB667" s="31">
        <v>0</v>
      </c>
      <c r="AC667" s="31">
        <f t="shared" si="255"/>
        <v>0</v>
      </c>
      <c r="AD667" s="31">
        <v>100000</v>
      </c>
      <c r="AE667" s="31">
        <v>0</v>
      </c>
      <c r="AF667" s="34">
        <v>2021</v>
      </c>
      <c r="AG667" s="34" t="s">
        <v>274</v>
      </c>
      <c r="AH667" s="35" t="s">
        <v>274</v>
      </c>
    </row>
    <row r="668" spans="1:34" ht="61.5" x14ac:dyDescent="0.85">
      <c r="A668" s="20">
        <v>1</v>
      </c>
      <c r="B668" s="66">
        <f>SUBTOTAL(103,$A$567:A668)</f>
        <v>102</v>
      </c>
      <c r="C668" s="24" t="s">
        <v>636</v>
      </c>
      <c r="D668" s="31">
        <f t="shared" si="242"/>
        <v>100000</v>
      </c>
      <c r="E668" s="31">
        <v>0</v>
      </c>
      <c r="F668" s="31">
        <v>0</v>
      </c>
      <c r="G668" s="31">
        <v>0</v>
      </c>
      <c r="H668" s="31">
        <v>0</v>
      </c>
      <c r="I668" s="31">
        <v>0</v>
      </c>
      <c r="J668" s="31">
        <v>0</v>
      </c>
      <c r="K668" s="33">
        <v>0</v>
      </c>
      <c r="L668" s="31">
        <v>0</v>
      </c>
      <c r="M668" s="31">
        <v>0</v>
      </c>
      <c r="N668" s="31">
        <v>0</v>
      </c>
      <c r="O668" s="31">
        <v>0</v>
      </c>
      <c r="P668" s="31">
        <v>0</v>
      </c>
      <c r="Q668" s="31">
        <v>0</v>
      </c>
      <c r="R668" s="31">
        <v>0</v>
      </c>
      <c r="S668" s="31">
        <v>0</v>
      </c>
      <c r="T668" s="31">
        <v>0</v>
      </c>
      <c r="U668" s="31">
        <v>0</v>
      </c>
      <c r="V668" s="31">
        <v>0</v>
      </c>
      <c r="W668" s="31">
        <v>0</v>
      </c>
      <c r="X668" s="31">
        <v>0</v>
      </c>
      <c r="Y668" s="31">
        <v>0</v>
      </c>
      <c r="Z668" s="31">
        <v>0</v>
      </c>
      <c r="AA668" s="31">
        <v>0</v>
      </c>
      <c r="AB668" s="31">
        <v>0</v>
      </c>
      <c r="AC668" s="31">
        <f t="shared" si="255"/>
        <v>0</v>
      </c>
      <c r="AD668" s="31">
        <v>100000</v>
      </c>
      <c r="AE668" s="31">
        <v>0</v>
      </c>
      <c r="AF668" s="34">
        <v>2021</v>
      </c>
      <c r="AG668" s="34" t="s">
        <v>274</v>
      </c>
      <c r="AH668" s="35" t="s">
        <v>274</v>
      </c>
    </row>
    <row r="669" spans="1:34" ht="61.5" x14ac:dyDescent="0.85">
      <c r="A669" s="20">
        <v>1</v>
      </c>
      <c r="B669" s="66">
        <f>SUBTOTAL(103,$A$567:A669)</f>
        <v>103</v>
      </c>
      <c r="C669" s="24" t="s">
        <v>637</v>
      </c>
      <c r="D669" s="31">
        <f t="shared" si="242"/>
        <v>100000</v>
      </c>
      <c r="E669" s="31">
        <v>0</v>
      </c>
      <c r="F669" s="31">
        <v>0</v>
      </c>
      <c r="G669" s="31">
        <v>0</v>
      </c>
      <c r="H669" s="31">
        <v>0</v>
      </c>
      <c r="I669" s="31">
        <v>0</v>
      </c>
      <c r="J669" s="31">
        <v>0</v>
      </c>
      <c r="K669" s="33">
        <v>0</v>
      </c>
      <c r="L669" s="31">
        <v>0</v>
      </c>
      <c r="M669" s="31">
        <v>0</v>
      </c>
      <c r="N669" s="31">
        <v>0</v>
      </c>
      <c r="O669" s="31">
        <v>0</v>
      </c>
      <c r="P669" s="31">
        <v>0</v>
      </c>
      <c r="Q669" s="31">
        <v>0</v>
      </c>
      <c r="R669" s="31">
        <v>0</v>
      </c>
      <c r="S669" s="31">
        <v>0</v>
      </c>
      <c r="T669" s="31">
        <v>0</v>
      </c>
      <c r="U669" s="31">
        <v>0</v>
      </c>
      <c r="V669" s="31">
        <v>0</v>
      </c>
      <c r="W669" s="31">
        <v>0</v>
      </c>
      <c r="X669" s="31">
        <v>0</v>
      </c>
      <c r="Y669" s="31">
        <v>0</v>
      </c>
      <c r="Z669" s="31">
        <v>0</v>
      </c>
      <c r="AA669" s="31">
        <v>0</v>
      </c>
      <c r="AB669" s="31">
        <v>0</v>
      </c>
      <c r="AC669" s="31">
        <f t="shared" si="255"/>
        <v>0</v>
      </c>
      <c r="AD669" s="31">
        <v>100000</v>
      </c>
      <c r="AE669" s="31">
        <v>0</v>
      </c>
      <c r="AF669" s="34">
        <v>2021</v>
      </c>
      <c r="AG669" s="34" t="s">
        <v>274</v>
      </c>
      <c r="AH669" s="35" t="s">
        <v>274</v>
      </c>
    </row>
    <row r="670" spans="1:34" ht="61.5" x14ac:dyDescent="0.85">
      <c r="A670" s="20">
        <v>1</v>
      </c>
      <c r="B670" s="66">
        <f>SUBTOTAL(103,$A$567:A670)</f>
        <v>104</v>
      </c>
      <c r="C670" s="24" t="s">
        <v>1459</v>
      </c>
      <c r="D670" s="31">
        <f t="shared" si="242"/>
        <v>163844.70000000001</v>
      </c>
      <c r="E670" s="31">
        <v>0</v>
      </c>
      <c r="F670" s="31">
        <v>0</v>
      </c>
      <c r="G670" s="31">
        <v>0</v>
      </c>
      <c r="H670" s="31">
        <v>0</v>
      </c>
      <c r="I670" s="31">
        <v>0</v>
      </c>
      <c r="J670" s="31">
        <v>0</v>
      </c>
      <c r="K670" s="33">
        <v>0</v>
      </c>
      <c r="L670" s="31">
        <v>0</v>
      </c>
      <c r="M670" s="31">
        <v>0</v>
      </c>
      <c r="N670" s="31">
        <v>0</v>
      </c>
      <c r="O670" s="31">
        <v>0</v>
      </c>
      <c r="P670" s="31">
        <v>0</v>
      </c>
      <c r="Q670" s="31">
        <v>0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1">
        <v>0</v>
      </c>
      <c r="Y670" s="31">
        <v>0</v>
      </c>
      <c r="Z670" s="31">
        <v>0</v>
      </c>
      <c r="AA670" s="31">
        <v>0</v>
      </c>
      <c r="AB670" s="31">
        <v>0</v>
      </c>
      <c r="AC670" s="31">
        <f t="shared" si="255"/>
        <v>0</v>
      </c>
      <c r="AD670" s="31">
        <v>163844.70000000001</v>
      </c>
      <c r="AE670" s="31">
        <v>0</v>
      </c>
      <c r="AF670" s="34">
        <v>2021</v>
      </c>
      <c r="AG670" s="34" t="s">
        <v>274</v>
      </c>
      <c r="AH670" s="35" t="s">
        <v>274</v>
      </c>
    </row>
    <row r="671" spans="1:34" ht="61.5" x14ac:dyDescent="0.85">
      <c r="A671" s="20">
        <v>1</v>
      </c>
      <c r="B671" s="66">
        <f>SUBTOTAL(103,$A$567:A671)</f>
        <v>105</v>
      </c>
      <c r="C671" s="24" t="s">
        <v>638</v>
      </c>
      <c r="D671" s="31">
        <f t="shared" si="242"/>
        <v>150000</v>
      </c>
      <c r="E671" s="31">
        <v>0</v>
      </c>
      <c r="F671" s="31">
        <v>0</v>
      </c>
      <c r="G671" s="31">
        <v>0</v>
      </c>
      <c r="H671" s="31">
        <v>0</v>
      </c>
      <c r="I671" s="31">
        <v>0</v>
      </c>
      <c r="J671" s="31">
        <v>0</v>
      </c>
      <c r="K671" s="33">
        <v>0</v>
      </c>
      <c r="L671" s="31">
        <v>0</v>
      </c>
      <c r="M671" s="31">
        <v>0</v>
      </c>
      <c r="N671" s="31">
        <v>0</v>
      </c>
      <c r="O671" s="31">
        <v>0</v>
      </c>
      <c r="P671" s="31">
        <v>0</v>
      </c>
      <c r="Q671" s="31">
        <v>0</v>
      </c>
      <c r="R671" s="31">
        <v>0</v>
      </c>
      <c r="S671" s="31">
        <v>0</v>
      </c>
      <c r="T671" s="31">
        <v>0</v>
      </c>
      <c r="U671" s="31">
        <v>0</v>
      </c>
      <c r="V671" s="31">
        <v>0</v>
      </c>
      <c r="W671" s="31">
        <v>0</v>
      </c>
      <c r="X671" s="31">
        <v>0</v>
      </c>
      <c r="Y671" s="31">
        <v>0</v>
      </c>
      <c r="Z671" s="31">
        <v>0</v>
      </c>
      <c r="AA671" s="31">
        <v>0</v>
      </c>
      <c r="AB671" s="31">
        <v>0</v>
      </c>
      <c r="AC671" s="31">
        <f t="shared" si="255"/>
        <v>0</v>
      </c>
      <c r="AD671" s="31">
        <v>150000</v>
      </c>
      <c r="AE671" s="31">
        <v>0</v>
      </c>
      <c r="AF671" s="34">
        <v>2021</v>
      </c>
      <c r="AG671" s="34" t="s">
        <v>274</v>
      </c>
      <c r="AH671" s="35" t="s">
        <v>274</v>
      </c>
    </row>
    <row r="672" spans="1:34" ht="61.5" x14ac:dyDescent="0.85">
      <c r="A672" s="20">
        <v>1</v>
      </c>
      <c r="B672" s="66">
        <f>SUBTOTAL(103,$A$567:A672)</f>
        <v>106</v>
      </c>
      <c r="C672" s="24" t="s">
        <v>639</v>
      </c>
      <c r="D672" s="31">
        <f t="shared" si="242"/>
        <v>100000</v>
      </c>
      <c r="E672" s="31">
        <v>0</v>
      </c>
      <c r="F672" s="31">
        <v>0</v>
      </c>
      <c r="G672" s="31">
        <v>0</v>
      </c>
      <c r="H672" s="31">
        <v>0</v>
      </c>
      <c r="I672" s="31">
        <v>0</v>
      </c>
      <c r="J672" s="31">
        <v>0</v>
      </c>
      <c r="K672" s="33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0</v>
      </c>
      <c r="S672" s="31">
        <v>0</v>
      </c>
      <c r="T672" s="31">
        <v>0</v>
      </c>
      <c r="U672" s="31">
        <v>0</v>
      </c>
      <c r="V672" s="31">
        <v>0</v>
      </c>
      <c r="W672" s="31">
        <v>0</v>
      </c>
      <c r="X672" s="31">
        <v>0</v>
      </c>
      <c r="Y672" s="31">
        <v>0</v>
      </c>
      <c r="Z672" s="31">
        <v>0</v>
      </c>
      <c r="AA672" s="31">
        <v>0</v>
      </c>
      <c r="AB672" s="31">
        <v>0</v>
      </c>
      <c r="AC672" s="31">
        <f t="shared" si="255"/>
        <v>0</v>
      </c>
      <c r="AD672" s="31">
        <v>100000</v>
      </c>
      <c r="AE672" s="31">
        <v>0</v>
      </c>
      <c r="AF672" s="34">
        <v>2021</v>
      </c>
      <c r="AG672" s="34" t="s">
        <v>274</v>
      </c>
      <c r="AH672" s="35" t="s">
        <v>274</v>
      </c>
    </row>
    <row r="673" spans="1:46" ht="61.5" x14ac:dyDescent="0.85">
      <c r="A673" s="20">
        <v>1</v>
      </c>
      <c r="B673" s="66">
        <f>SUBTOTAL(103,$A$567:A673)</f>
        <v>107</v>
      </c>
      <c r="C673" s="24" t="s">
        <v>640</v>
      </c>
      <c r="D673" s="31">
        <f t="shared" si="242"/>
        <v>100000</v>
      </c>
      <c r="E673" s="31">
        <v>0</v>
      </c>
      <c r="F673" s="31">
        <v>0</v>
      </c>
      <c r="G673" s="31">
        <v>0</v>
      </c>
      <c r="H673" s="31">
        <v>0</v>
      </c>
      <c r="I673" s="31">
        <v>0</v>
      </c>
      <c r="J673" s="31">
        <v>0</v>
      </c>
      <c r="K673" s="33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0</v>
      </c>
      <c r="S673" s="31">
        <v>0</v>
      </c>
      <c r="T673" s="31">
        <v>0</v>
      </c>
      <c r="U673" s="31">
        <v>0</v>
      </c>
      <c r="V673" s="31">
        <v>0</v>
      </c>
      <c r="W673" s="31">
        <v>0</v>
      </c>
      <c r="X673" s="31">
        <v>0</v>
      </c>
      <c r="Y673" s="31">
        <v>0</v>
      </c>
      <c r="Z673" s="31">
        <v>0</v>
      </c>
      <c r="AA673" s="31">
        <v>0</v>
      </c>
      <c r="AB673" s="31">
        <v>0</v>
      </c>
      <c r="AC673" s="31">
        <f t="shared" si="255"/>
        <v>0</v>
      </c>
      <c r="AD673" s="31">
        <v>100000</v>
      </c>
      <c r="AE673" s="31">
        <v>0</v>
      </c>
      <c r="AF673" s="34">
        <v>2021</v>
      </c>
      <c r="AG673" s="34" t="s">
        <v>274</v>
      </c>
      <c r="AH673" s="35" t="s">
        <v>274</v>
      </c>
    </row>
    <row r="674" spans="1:46" ht="61.5" x14ac:dyDescent="0.85">
      <c r="A674" s="20">
        <v>1</v>
      </c>
      <c r="B674" s="66">
        <f>SUBTOTAL(103,$A$567:A674)</f>
        <v>108</v>
      </c>
      <c r="C674" s="24" t="s">
        <v>641</v>
      </c>
      <c r="D674" s="31">
        <f t="shared" si="242"/>
        <v>100000</v>
      </c>
      <c r="E674" s="31">
        <v>0</v>
      </c>
      <c r="F674" s="31">
        <v>0</v>
      </c>
      <c r="G674" s="31">
        <v>0</v>
      </c>
      <c r="H674" s="31">
        <v>0</v>
      </c>
      <c r="I674" s="31">
        <v>0</v>
      </c>
      <c r="J674" s="31">
        <v>0</v>
      </c>
      <c r="K674" s="33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0</v>
      </c>
      <c r="X674" s="31">
        <v>0</v>
      </c>
      <c r="Y674" s="31">
        <v>0</v>
      </c>
      <c r="Z674" s="31">
        <v>0</v>
      </c>
      <c r="AA674" s="31">
        <v>0</v>
      </c>
      <c r="AB674" s="31">
        <v>0</v>
      </c>
      <c r="AC674" s="31">
        <f t="shared" si="255"/>
        <v>0</v>
      </c>
      <c r="AD674" s="31">
        <v>100000</v>
      </c>
      <c r="AE674" s="31">
        <v>0</v>
      </c>
      <c r="AF674" s="34">
        <v>2021</v>
      </c>
      <c r="AG674" s="34" t="s">
        <v>274</v>
      </c>
      <c r="AH674" s="35" t="s">
        <v>274</v>
      </c>
    </row>
    <row r="675" spans="1:46" ht="61.5" x14ac:dyDescent="0.85">
      <c r="A675" s="20">
        <v>1</v>
      </c>
      <c r="B675" s="66">
        <f>SUBTOTAL(103,$A$567:A675)</f>
        <v>109</v>
      </c>
      <c r="C675" s="24" t="s">
        <v>642</v>
      </c>
      <c r="D675" s="31">
        <f t="shared" si="242"/>
        <v>100000</v>
      </c>
      <c r="E675" s="31">
        <v>0</v>
      </c>
      <c r="F675" s="31">
        <v>0</v>
      </c>
      <c r="G675" s="31">
        <v>0</v>
      </c>
      <c r="H675" s="31">
        <v>0</v>
      </c>
      <c r="I675" s="31">
        <v>0</v>
      </c>
      <c r="J675" s="31">
        <v>0</v>
      </c>
      <c r="K675" s="33">
        <v>0</v>
      </c>
      <c r="L675" s="31">
        <v>0</v>
      </c>
      <c r="M675" s="31">
        <v>0</v>
      </c>
      <c r="N675" s="31">
        <v>0</v>
      </c>
      <c r="O675" s="31">
        <v>0</v>
      </c>
      <c r="P675" s="31">
        <v>0</v>
      </c>
      <c r="Q675" s="31">
        <v>0</v>
      </c>
      <c r="R675" s="31">
        <v>0</v>
      </c>
      <c r="S675" s="31">
        <v>0</v>
      </c>
      <c r="T675" s="31">
        <v>0</v>
      </c>
      <c r="U675" s="31">
        <v>0</v>
      </c>
      <c r="V675" s="31">
        <v>0</v>
      </c>
      <c r="W675" s="31">
        <v>0</v>
      </c>
      <c r="X675" s="31">
        <v>0</v>
      </c>
      <c r="Y675" s="31">
        <v>0</v>
      </c>
      <c r="Z675" s="31">
        <v>0</v>
      </c>
      <c r="AA675" s="31">
        <v>0</v>
      </c>
      <c r="AB675" s="31">
        <v>0</v>
      </c>
      <c r="AC675" s="31">
        <f t="shared" si="255"/>
        <v>0</v>
      </c>
      <c r="AD675" s="31">
        <v>100000</v>
      </c>
      <c r="AE675" s="31">
        <v>0</v>
      </c>
      <c r="AF675" s="34">
        <v>2021</v>
      </c>
      <c r="AG675" s="34" t="s">
        <v>274</v>
      </c>
      <c r="AH675" s="35" t="s">
        <v>274</v>
      </c>
    </row>
    <row r="676" spans="1:46" ht="61.5" x14ac:dyDescent="0.85">
      <c r="A676" s="20">
        <v>1</v>
      </c>
      <c r="B676" s="66">
        <f>SUBTOTAL(103,$A$567:A676)</f>
        <v>110</v>
      </c>
      <c r="C676" s="24" t="s">
        <v>643</v>
      </c>
      <c r="D676" s="31">
        <f t="shared" si="242"/>
        <v>100000</v>
      </c>
      <c r="E676" s="31">
        <v>0</v>
      </c>
      <c r="F676" s="31">
        <v>0</v>
      </c>
      <c r="G676" s="31">
        <v>0</v>
      </c>
      <c r="H676" s="31">
        <v>0</v>
      </c>
      <c r="I676" s="31">
        <v>0</v>
      </c>
      <c r="J676" s="31">
        <v>0</v>
      </c>
      <c r="K676" s="33">
        <v>0</v>
      </c>
      <c r="L676" s="31">
        <v>0</v>
      </c>
      <c r="M676" s="31">
        <v>0</v>
      </c>
      <c r="N676" s="31">
        <v>0</v>
      </c>
      <c r="O676" s="31">
        <v>0</v>
      </c>
      <c r="P676" s="31">
        <v>0</v>
      </c>
      <c r="Q676" s="31">
        <v>0</v>
      </c>
      <c r="R676" s="31">
        <v>0</v>
      </c>
      <c r="S676" s="31">
        <v>0</v>
      </c>
      <c r="T676" s="31">
        <v>0</v>
      </c>
      <c r="U676" s="31">
        <v>0</v>
      </c>
      <c r="V676" s="31">
        <v>0</v>
      </c>
      <c r="W676" s="31">
        <v>0</v>
      </c>
      <c r="X676" s="31">
        <v>0</v>
      </c>
      <c r="Y676" s="31">
        <v>0</v>
      </c>
      <c r="Z676" s="31">
        <v>0</v>
      </c>
      <c r="AA676" s="31">
        <v>0</v>
      </c>
      <c r="AB676" s="31">
        <v>0</v>
      </c>
      <c r="AC676" s="31">
        <f t="shared" si="255"/>
        <v>0</v>
      </c>
      <c r="AD676" s="31">
        <v>100000</v>
      </c>
      <c r="AE676" s="31">
        <v>0</v>
      </c>
      <c r="AF676" s="34">
        <v>2021</v>
      </c>
      <c r="AG676" s="34" t="s">
        <v>274</v>
      </c>
      <c r="AH676" s="35" t="s">
        <v>274</v>
      </c>
    </row>
    <row r="677" spans="1:46" ht="61.5" x14ac:dyDescent="0.85">
      <c r="A677" s="20">
        <v>1</v>
      </c>
      <c r="B677" s="66">
        <f>SUBTOTAL(103,$A$567:A677)</f>
        <v>111</v>
      </c>
      <c r="C677" s="24" t="s">
        <v>644</v>
      </c>
      <c r="D677" s="31">
        <f t="shared" si="242"/>
        <v>100000</v>
      </c>
      <c r="E677" s="31">
        <v>0</v>
      </c>
      <c r="F677" s="31">
        <v>0</v>
      </c>
      <c r="G677" s="31">
        <v>0</v>
      </c>
      <c r="H677" s="31">
        <v>0</v>
      </c>
      <c r="I677" s="31">
        <v>0</v>
      </c>
      <c r="J677" s="31">
        <v>0</v>
      </c>
      <c r="K677" s="33">
        <v>0</v>
      </c>
      <c r="L677" s="31">
        <v>0</v>
      </c>
      <c r="M677" s="31">
        <v>0</v>
      </c>
      <c r="N677" s="31">
        <v>0</v>
      </c>
      <c r="O677" s="31">
        <v>0</v>
      </c>
      <c r="P677" s="31">
        <v>0</v>
      </c>
      <c r="Q677" s="31">
        <v>0</v>
      </c>
      <c r="R677" s="31">
        <v>0</v>
      </c>
      <c r="S677" s="31">
        <v>0</v>
      </c>
      <c r="T677" s="31">
        <v>0</v>
      </c>
      <c r="U677" s="31">
        <v>0</v>
      </c>
      <c r="V677" s="31">
        <v>0</v>
      </c>
      <c r="W677" s="31">
        <v>0</v>
      </c>
      <c r="X677" s="31">
        <v>0</v>
      </c>
      <c r="Y677" s="31">
        <v>0</v>
      </c>
      <c r="Z677" s="31">
        <v>0</v>
      </c>
      <c r="AA677" s="31">
        <v>0</v>
      </c>
      <c r="AB677" s="31">
        <v>0</v>
      </c>
      <c r="AC677" s="31">
        <f t="shared" si="255"/>
        <v>0</v>
      </c>
      <c r="AD677" s="31">
        <v>100000</v>
      </c>
      <c r="AE677" s="31">
        <v>0</v>
      </c>
      <c r="AF677" s="34">
        <v>2021</v>
      </c>
      <c r="AG677" s="34" t="s">
        <v>274</v>
      </c>
      <c r="AH677" s="35" t="s">
        <v>274</v>
      </c>
    </row>
    <row r="678" spans="1:46" ht="61.5" x14ac:dyDescent="0.85">
      <c r="A678" s="20">
        <v>1</v>
      </c>
      <c r="B678" s="66">
        <f>SUBTOTAL(103,$A$567:A678)</f>
        <v>112</v>
      </c>
      <c r="C678" s="24" t="s">
        <v>515</v>
      </c>
      <c r="D678" s="31">
        <f t="shared" si="242"/>
        <v>80000</v>
      </c>
      <c r="E678" s="31">
        <v>0</v>
      </c>
      <c r="F678" s="31">
        <v>0</v>
      </c>
      <c r="G678" s="31">
        <v>0</v>
      </c>
      <c r="H678" s="31">
        <v>0</v>
      </c>
      <c r="I678" s="31">
        <v>0</v>
      </c>
      <c r="J678" s="31">
        <v>0</v>
      </c>
      <c r="K678" s="33">
        <v>0</v>
      </c>
      <c r="L678" s="31">
        <v>0</v>
      </c>
      <c r="M678" s="31">
        <v>0</v>
      </c>
      <c r="N678" s="31">
        <v>0</v>
      </c>
      <c r="O678" s="31">
        <v>0</v>
      </c>
      <c r="P678" s="31">
        <v>0</v>
      </c>
      <c r="Q678" s="31">
        <v>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1">
        <v>0</v>
      </c>
      <c r="Y678" s="31">
        <v>0</v>
      </c>
      <c r="Z678" s="31">
        <v>0</v>
      </c>
      <c r="AA678" s="31">
        <v>0</v>
      </c>
      <c r="AB678" s="31">
        <v>0</v>
      </c>
      <c r="AC678" s="31">
        <f t="shared" si="255"/>
        <v>0</v>
      </c>
      <c r="AD678" s="31">
        <v>80000</v>
      </c>
      <c r="AE678" s="31">
        <v>0</v>
      </c>
      <c r="AF678" s="34">
        <v>2021</v>
      </c>
      <c r="AG678" s="34" t="s">
        <v>274</v>
      </c>
      <c r="AH678" s="35" t="s">
        <v>274</v>
      </c>
    </row>
    <row r="679" spans="1:46" ht="61.5" x14ac:dyDescent="0.85">
      <c r="A679" s="20">
        <v>1</v>
      </c>
      <c r="B679" s="66">
        <f>SUBTOTAL(103,$A$567:A679)</f>
        <v>113</v>
      </c>
      <c r="C679" s="24" t="s">
        <v>1134</v>
      </c>
      <c r="D679" s="31">
        <f t="shared" si="242"/>
        <v>100000</v>
      </c>
      <c r="E679" s="31">
        <v>0</v>
      </c>
      <c r="F679" s="31">
        <v>0</v>
      </c>
      <c r="G679" s="31">
        <v>0</v>
      </c>
      <c r="H679" s="31">
        <v>0</v>
      </c>
      <c r="I679" s="31">
        <v>0</v>
      </c>
      <c r="J679" s="31">
        <v>0</v>
      </c>
      <c r="K679" s="33">
        <v>0</v>
      </c>
      <c r="L679" s="31">
        <v>0</v>
      </c>
      <c r="M679" s="31">
        <v>0</v>
      </c>
      <c r="N679" s="31">
        <v>0</v>
      </c>
      <c r="O679" s="31">
        <v>0</v>
      </c>
      <c r="P679" s="31">
        <v>0</v>
      </c>
      <c r="Q679" s="31">
        <v>0</v>
      </c>
      <c r="R679" s="31">
        <v>0</v>
      </c>
      <c r="S679" s="31">
        <v>0</v>
      </c>
      <c r="T679" s="31">
        <v>0</v>
      </c>
      <c r="U679" s="31">
        <v>0</v>
      </c>
      <c r="V679" s="31">
        <v>0</v>
      </c>
      <c r="W679" s="31">
        <v>0</v>
      </c>
      <c r="X679" s="31">
        <v>0</v>
      </c>
      <c r="Y679" s="31">
        <v>0</v>
      </c>
      <c r="Z679" s="31">
        <v>0</v>
      </c>
      <c r="AA679" s="31">
        <v>0</v>
      </c>
      <c r="AB679" s="31">
        <v>0</v>
      </c>
      <c r="AC679" s="31">
        <f t="shared" si="255"/>
        <v>0</v>
      </c>
      <c r="AD679" s="31">
        <v>100000</v>
      </c>
      <c r="AE679" s="31">
        <v>0</v>
      </c>
      <c r="AF679" s="34">
        <v>2021</v>
      </c>
      <c r="AG679" s="34" t="s">
        <v>274</v>
      </c>
      <c r="AH679" s="35" t="s">
        <v>274</v>
      </c>
    </row>
    <row r="680" spans="1:46" ht="61.5" x14ac:dyDescent="0.85">
      <c r="B680" s="24" t="s">
        <v>799</v>
      </c>
      <c r="C680" s="117"/>
      <c r="D680" s="31">
        <f>SUM(D681:D694)</f>
        <v>53022412.590000004</v>
      </c>
      <c r="E680" s="31">
        <f t="shared" ref="E680:AE680" si="256">SUM(E681:E694)</f>
        <v>215356.42</v>
      </c>
      <c r="F680" s="31">
        <f t="shared" si="256"/>
        <v>0</v>
      </c>
      <c r="G680" s="31">
        <f t="shared" si="256"/>
        <v>2456692.4499999997</v>
      </c>
      <c r="H680" s="31">
        <f t="shared" si="256"/>
        <v>0</v>
      </c>
      <c r="I680" s="31">
        <f t="shared" si="256"/>
        <v>485121.6</v>
      </c>
      <c r="J680" s="31">
        <f t="shared" si="256"/>
        <v>0</v>
      </c>
      <c r="K680" s="33">
        <f t="shared" si="256"/>
        <v>0</v>
      </c>
      <c r="L680" s="31">
        <f t="shared" si="256"/>
        <v>0</v>
      </c>
      <c r="M680" s="31">
        <f t="shared" si="256"/>
        <v>10092.77</v>
      </c>
      <c r="N680" s="31">
        <f t="shared" si="256"/>
        <v>44828085.840000004</v>
      </c>
      <c r="O680" s="31">
        <f t="shared" si="256"/>
        <v>0</v>
      </c>
      <c r="P680" s="31">
        <f t="shared" si="256"/>
        <v>0</v>
      </c>
      <c r="Q680" s="31">
        <f t="shared" si="256"/>
        <v>848.54</v>
      </c>
      <c r="R680" s="31">
        <f t="shared" si="256"/>
        <v>2342243.7599999998</v>
      </c>
      <c r="S680" s="31">
        <f t="shared" si="256"/>
        <v>0</v>
      </c>
      <c r="T680" s="31">
        <f t="shared" si="256"/>
        <v>0</v>
      </c>
      <c r="U680" s="31">
        <f t="shared" si="256"/>
        <v>0</v>
      </c>
      <c r="V680" s="31">
        <f t="shared" si="256"/>
        <v>0</v>
      </c>
      <c r="W680" s="31">
        <f t="shared" si="256"/>
        <v>0</v>
      </c>
      <c r="X680" s="31">
        <f t="shared" si="256"/>
        <v>0</v>
      </c>
      <c r="Y680" s="31">
        <f t="shared" si="256"/>
        <v>0</v>
      </c>
      <c r="Z680" s="31">
        <f t="shared" si="256"/>
        <v>0</v>
      </c>
      <c r="AA680" s="31">
        <f t="shared" si="256"/>
        <v>0</v>
      </c>
      <c r="AB680" s="31">
        <f t="shared" si="256"/>
        <v>0</v>
      </c>
      <c r="AC680" s="31">
        <f t="shared" si="256"/>
        <v>754912.52</v>
      </c>
      <c r="AD680" s="31">
        <f t="shared" si="256"/>
        <v>1940000</v>
      </c>
      <c r="AE680" s="31">
        <f t="shared" si="256"/>
        <v>0</v>
      </c>
      <c r="AF680" s="72" t="s">
        <v>794</v>
      </c>
      <c r="AG680" s="72" t="s">
        <v>794</v>
      </c>
      <c r="AH680" s="91" t="s">
        <v>794</v>
      </c>
      <c r="AT680" s="20" t="e">
        <f t="shared" ref="AT680:AT723" si="257">VLOOKUP(C680,AW:AX,2,FALSE)</f>
        <v>#N/A</v>
      </c>
    </row>
    <row r="681" spans="1:46" ht="61.5" x14ac:dyDescent="0.85">
      <c r="A681" s="20">
        <v>1</v>
      </c>
      <c r="B681" s="66">
        <f>SUBTOTAL(103,$A$567:A681)</f>
        <v>114</v>
      </c>
      <c r="C681" s="24" t="s">
        <v>473</v>
      </c>
      <c r="D681" s="31">
        <f t="shared" ref="D681:D692" si="258">E681+F681+G681+H681+I681+J681+L681+N681+P681+R681+T681+U681+V681+W681+X681+Y681+Z681+AA681+AB681+AC681+AD681+AE681</f>
        <v>4823597.0600000005</v>
      </c>
      <c r="E681" s="31">
        <v>0</v>
      </c>
      <c r="F681" s="31">
        <v>0</v>
      </c>
      <c r="G681" s="31">
        <v>0</v>
      </c>
      <c r="H681" s="31">
        <v>0</v>
      </c>
      <c r="I681" s="31">
        <v>0</v>
      </c>
      <c r="J681" s="31">
        <v>0</v>
      </c>
      <c r="K681" s="33">
        <v>0</v>
      </c>
      <c r="L681" s="31">
        <v>0</v>
      </c>
      <c r="M681" s="31">
        <v>762</v>
      </c>
      <c r="N681" s="31">
        <v>4604529.12</v>
      </c>
      <c r="O681" s="31">
        <v>0</v>
      </c>
      <c r="P681" s="31">
        <v>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v>0</v>
      </c>
      <c r="Y681" s="31">
        <v>0</v>
      </c>
      <c r="Z681" s="31">
        <v>0</v>
      </c>
      <c r="AA681" s="31">
        <v>0</v>
      </c>
      <c r="AB681" s="31">
        <v>0</v>
      </c>
      <c r="AC681" s="31">
        <f t="shared" ref="AC681:AC682" si="259">ROUND(N681*1.5%,2)</f>
        <v>69067.94</v>
      </c>
      <c r="AD681" s="31">
        <v>150000</v>
      </c>
      <c r="AE681" s="31">
        <v>0</v>
      </c>
      <c r="AF681" s="34">
        <v>2021</v>
      </c>
      <c r="AG681" s="34">
        <v>2021</v>
      </c>
      <c r="AH681" s="35">
        <v>2021</v>
      </c>
      <c r="AT681" s="20" t="e">
        <f t="shared" si="257"/>
        <v>#N/A</v>
      </c>
    </row>
    <row r="682" spans="1:46" ht="61.5" x14ac:dyDescent="0.85">
      <c r="A682" s="20">
        <v>1</v>
      </c>
      <c r="B682" s="66">
        <f>SUBTOTAL(103,$A$567:A682)</f>
        <v>115</v>
      </c>
      <c r="C682" s="24" t="s">
        <v>474</v>
      </c>
      <c r="D682" s="31">
        <f t="shared" si="258"/>
        <v>3616357.54</v>
      </c>
      <c r="E682" s="31">
        <v>0</v>
      </c>
      <c r="F682" s="31">
        <v>0</v>
      </c>
      <c r="G682" s="31">
        <v>0</v>
      </c>
      <c r="H682" s="31">
        <v>0</v>
      </c>
      <c r="I682" s="31">
        <v>0</v>
      </c>
      <c r="J682" s="31">
        <v>0</v>
      </c>
      <c r="K682" s="33">
        <v>0</v>
      </c>
      <c r="L682" s="31">
        <v>0</v>
      </c>
      <c r="M682" s="31">
        <v>620.9</v>
      </c>
      <c r="N682" s="31">
        <v>3415130.58</v>
      </c>
      <c r="O682" s="31">
        <v>0</v>
      </c>
      <c r="P682" s="31">
        <v>0</v>
      </c>
      <c r="Q682" s="31">
        <v>0</v>
      </c>
      <c r="R682" s="31">
        <v>0</v>
      </c>
      <c r="S682" s="31">
        <v>0</v>
      </c>
      <c r="T682" s="31">
        <v>0</v>
      </c>
      <c r="U682" s="31">
        <v>0</v>
      </c>
      <c r="V682" s="31">
        <v>0</v>
      </c>
      <c r="W682" s="31">
        <v>0</v>
      </c>
      <c r="X682" s="31">
        <v>0</v>
      </c>
      <c r="Y682" s="31">
        <v>0</v>
      </c>
      <c r="Z682" s="31">
        <v>0</v>
      </c>
      <c r="AA682" s="31">
        <v>0</v>
      </c>
      <c r="AB682" s="31">
        <v>0</v>
      </c>
      <c r="AC682" s="31">
        <f t="shared" si="259"/>
        <v>51226.96</v>
      </c>
      <c r="AD682" s="31">
        <v>150000</v>
      </c>
      <c r="AE682" s="31">
        <v>0</v>
      </c>
      <c r="AF682" s="34">
        <v>2021</v>
      </c>
      <c r="AG682" s="34">
        <v>2021</v>
      </c>
      <c r="AH682" s="35">
        <v>2021</v>
      </c>
      <c r="AT682" s="20" t="e">
        <f t="shared" si="257"/>
        <v>#N/A</v>
      </c>
    </row>
    <row r="683" spans="1:46" ht="61.5" x14ac:dyDescent="0.85">
      <c r="A683" s="20">
        <v>1</v>
      </c>
      <c r="B683" s="66">
        <f>SUBTOTAL(103,$A$567:A683)</f>
        <v>116</v>
      </c>
      <c r="C683" s="24" t="s">
        <v>475</v>
      </c>
      <c r="D683" s="31">
        <f t="shared" si="258"/>
        <v>1638422.64</v>
      </c>
      <c r="E683" s="31">
        <v>0</v>
      </c>
      <c r="F683" s="31">
        <v>0</v>
      </c>
      <c r="G683" s="31">
        <v>0</v>
      </c>
      <c r="H683" s="31">
        <v>0</v>
      </c>
      <c r="I683" s="31">
        <v>0</v>
      </c>
      <c r="J683" s="31">
        <v>0</v>
      </c>
      <c r="K683" s="33">
        <v>0</v>
      </c>
      <c r="L683" s="31">
        <v>0</v>
      </c>
      <c r="M683" s="31">
        <v>0</v>
      </c>
      <c r="N683" s="31">
        <v>0</v>
      </c>
      <c r="O683" s="31">
        <v>0</v>
      </c>
      <c r="P683" s="31">
        <v>0</v>
      </c>
      <c r="Q683" s="31">
        <v>439.04</v>
      </c>
      <c r="R683" s="31">
        <v>1486130.68</v>
      </c>
      <c r="S683" s="31">
        <v>0</v>
      </c>
      <c r="T683" s="31">
        <v>0</v>
      </c>
      <c r="U683" s="31">
        <v>0</v>
      </c>
      <c r="V683" s="31">
        <v>0</v>
      </c>
      <c r="W683" s="31">
        <v>0</v>
      </c>
      <c r="X683" s="31">
        <v>0</v>
      </c>
      <c r="Y683" s="31">
        <v>0</v>
      </c>
      <c r="Z683" s="31">
        <v>0</v>
      </c>
      <c r="AA683" s="31">
        <v>0</v>
      </c>
      <c r="AB683" s="31">
        <v>0</v>
      </c>
      <c r="AC683" s="31">
        <f t="shared" ref="AC683" si="260">ROUND(R683*1.5%,2)</f>
        <v>22291.96</v>
      </c>
      <c r="AD683" s="31">
        <v>130000</v>
      </c>
      <c r="AE683" s="31">
        <v>0</v>
      </c>
      <c r="AF683" s="34">
        <v>2021</v>
      </c>
      <c r="AG683" s="34">
        <v>2021</v>
      </c>
      <c r="AH683" s="35">
        <v>2021</v>
      </c>
      <c r="AT683" s="20" t="e">
        <f t="shared" si="257"/>
        <v>#N/A</v>
      </c>
    </row>
    <row r="684" spans="1:46" ht="61.5" x14ac:dyDescent="0.85">
      <c r="A684" s="20">
        <v>1</v>
      </c>
      <c r="B684" s="66">
        <f>SUBTOTAL(103,$A$567:A684)</f>
        <v>117</v>
      </c>
      <c r="C684" s="24" t="s">
        <v>476</v>
      </c>
      <c r="D684" s="31">
        <f t="shared" si="258"/>
        <v>4857938</v>
      </c>
      <c r="E684" s="31">
        <v>0</v>
      </c>
      <c r="F684" s="31">
        <v>0</v>
      </c>
      <c r="G684" s="31">
        <v>0</v>
      </c>
      <c r="H684" s="31">
        <v>0</v>
      </c>
      <c r="I684" s="31">
        <v>0</v>
      </c>
      <c r="J684" s="31">
        <v>0</v>
      </c>
      <c r="K684" s="33">
        <v>0</v>
      </c>
      <c r="L684" s="31">
        <v>0</v>
      </c>
      <c r="M684" s="31">
        <v>886</v>
      </c>
      <c r="N684" s="31">
        <v>4638362.5599999996</v>
      </c>
      <c r="O684" s="31">
        <v>0</v>
      </c>
      <c r="P684" s="31">
        <v>0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  <c r="V684" s="31">
        <v>0</v>
      </c>
      <c r="W684" s="31">
        <v>0</v>
      </c>
      <c r="X684" s="31">
        <v>0</v>
      </c>
      <c r="Y684" s="31">
        <v>0</v>
      </c>
      <c r="Z684" s="31">
        <v>0</v>
      </c>
      <c r="AA684" s="31">
        <v>0</v>
      </c>
      <c r="AB684" s="31">
        <v>0</v>
      </c>
      <c r="AC684" s="31">
        <f t="shared" ref="AC684:AC687" si="261">ROUND(N684*1.5%,2)</f>
        <v>69575.44</v>
      </c>
      <c r="AD684" s="31">
        <v>150000</v>
      </c>
      <c r="AE684" s="31">
        <v>0</v>
      </c>
      <c r="AF684" s="34">
        <v>2021</v>
      </c>
      <c r="AG684" s="34">
        <v>2021</v>
      </c>
      <c r="AH684" s="35">
        <v>2021</v>
      </c>
      <c r="AT684" s="20" t="e">
        <f t="shared" si="257"/>
        <v>#N/A</v>
      </c>
    </row>
    <row r="685" spans="1:46" ht="61.5" x14ac:dyDescent="0.85">
      <c r="A685" s="20">
        <v>1</v>
      </c>
      <c r="B685" s="66">
        <f>SUBTOTAL(103,$A$567:A685)</f>
        <v>118</v>
      </c>
      <c r="C685" s="24" t="s">
        <v>477</v>
      </c>
      <c r="D685" s="31">
        <f t="shared" si="258"/>
        <v>3345121.12</v>
      </c>
      <c r="E685" s="31">
        <v>0</v>
      </c>
      <c r="F685" s="31">
        <v>0</v>
      </c>
      <c r="G685" s="31">
        <v>0</v>
      </c>
      <c r="H685" s="31">
        <v>0</v>
      </c>
      <c r="I685" s="31">
        <v>0</v>
      </c>
      <c r="J685" s="31">
        <v>0</v>
      </c>
      <c r="K685" s="33">
        <v>0</v>
      </c>
      <c r="L685" s="31">
        <v>0</v>
      </c>
      <c r="M685" s="31">
        <v>604</v>
      </c>
      <c r="N685" s="31">
        <v>3147902.58</v>
      </c>
      <c r="O685" s="31">
        <v>0</v>
      </c>
      <c r="P685" s="31">
        <v>0</v>
      </c>
      <c r="Q685" s="31">
        <v>0</v>
      </c>
      <c r="R685" s="31">
        <v>0</v>
      </c>
      <c r="S685" s="31">
        <v>0</v>
      </c>
      <c r="T685" s="31">
        <v>0</v>
      </c>
      <c r="U685" s="31">
        <v>0</v>
      </c>
      <c r="V685" s="31">
        <v>0</v>
      </c>
      <c r="W685" s="31">
        <v>0</v>
      </c>
      <c r="X685" s="31">
        <v>0</v>
      </c>
      <c r="Y685" s="31">
        <v>0</v>
      </c>
      <c r="Z685" s="31">
        <v>0</v>
      </c>
      <c r="AA685" s="31">
        <v>0</v>
      </c>
      <c r="AB685" s="31">
        <v>0</v>
      </c>
      <c r="AC685" s="31">
        <f t="shared" si="261"/>
        <v>47218.54</v>
      </c>
      <c r="AD685" s="31">
        <v>150000</v>
      </c>
      <c r="AE685" s="31">
        <v>0</v>
      </c>
      <c r="AF685" s="34">
        <v>2021</v>
      </c>
      <c r="AG685" s="34">
        <v>2021</v>
      </c>
      <c r="AH685" s="35">
        <v>2021</v>
      </c>
      <c r="AT685" s="20" t="e">
        <f t="shared" si="257"/>
        <v>#N/A</v>
      </c>
    </row>
    <row r="686" spans="1:46" ht="61.5" x14ac:dyDescent="0.85">
      <c r="A686" s="20">
        <v>1</v>
      </c>
      <c r="B686" s="66">
        <f>SUBTOTAL(103,$A$567:A686)</f>
        <v>119</v>
      </c>
      <c r="C686" s="24" t="s">
        <v>478</v>
      </c>
      <c r="D686" s="31">
        <f t="shared" si="258"/>
        <v>3345121.12</v>
      </c>
      <c r="E686" s="31">
        <v>0</v>
      </c>
      <c r="F686" s="31">
        <v>0</v>
      </c>
      <c r="G686" s="31">
        <v>0</v>
      </c>
      <c r="H686" s="31">
        <v>0</v>
      </c>
      <c r="I686" s="31">
        <v>0</v>
      </c>
      <c r="J686" s="31">
        <v>0</v>
      </c>
      <c r="K686" s="33">
        <v>0</v>
      </c>
      <c r="L686" s="31">
        <v>0</v>
      </c>
      <c r="M686" s="31">
        <v>604</v>
      </c>
      <c r="N686" s="31">
        <v>3147902.58</v>
      </c>
      <c r="O686" s="31">
        <v>0</v>
      </c>
      <c r="P686" s="31">
        <v>0</v>
      </c>
      <c r="Q686" s="31">
        <v>0</v>
      </c>
      <c r="R686" s="31">
        <v>0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v>0</v>
      </c>
      <c r="Y686" s="31">
        <v>0</v>
      </c>
      <c r="Z686" s="31">
        <v>0</v>
      </c>
      <c r="AA686" s="31">
        <v>0</v>
      </c>
      <c r="AB686" s="31">
        <v>0</v>
      </c>
      <c r="AC686" s="31">
        <f t="shared" si="261"/>
        <v>47218.54</v>
      </c>
      <c r="AD686" s="31">
        <v>150000</v>
      </c>
      <c r="AE686" s="31">
        <v>0</v>
      </c>
      <c r="AF686" s="34">
        <v>2021</v>
      </c>
      <c r="AG686" s="34">
        <v>2021</v>
      </c>
      <c r="AH686" s="35">
        <v>2021</v>
      </c>
      <c r="AT686" s="20" t="e">
        <f t="shared" si="257"/>
        <v>#N/A</v>
      </c>
    </row>
    <row r="687" spans="1:46" ht="61.5" x14ac:dyDescent="0.85">
      <c r="A687" s="20">
        <v>1</v>
      </c>
      <c r="B687" s="66">
        <f>SUBTOTAL(103,$A$567:A687)</f>
        <v>120</v>
      </c>
      <c r="C687" s="24" t="s">
        <v>479</v>
      </c>
      <c r="D687" s="31">
        <f t="shared" si="258"/>
        <v>3589208.68</v>
      </c>
      <c r="E687" s="31">
        <v>0</v>
      </c>
      <c r="F687" s="31">
        <v>0</v>
      </c>
      <c r="G687" s="31">
        <v>0</v>
      </c>
      <c r="H687" s="31">
        <v>0</v>
      </c>
      <c r="I687" s="31">
        <v>0</v>
      </c>
      <c r="J687" s="31">
        <v>0</v>
      </c>
      <c r="K687" s="33">
        <v>0</v>
      </c>
      <c r="L687" s="31">
        <v>0</v>
      </c>
      <c r="M687" s="31">
        <v>723.24</v>
      </c>
      <c r="N687" s="31">
        <v>3388382.94</v>
      </c>
      <c r="O687" s="31">
        <v>0</v>
      </c>
      <c r="P687" s="31">
        <v>0</v>
      </c>
      <c r="Q687" s="31">
        <v>0</v>
      </c>
      <c r="R687" s="31">
        <v>0</v>
      </c>
      <c r="S687" s="31">
        <v>0</v>
      </c>
      <c r="T687" s="31">
        <v>0</v>
      </c>
      <c r="U687" s="31">
        <v>0</v>
      </c>
      <c r="V687" s="31">
        <v>0</v>
      </c>
      <c r="W687" s="31">
        <v>0</v>
      </c>
      <c r="X687" s="31">
        <v>0</v>
      </c>
      <c r="Y687" s="31">
        <v>0</v>
      </c>
      <c r="Z687" s="31">
        <v>0</v>
      </c>
      <c r="AA687" s="31">
        <v>0</v>
      </c>
      <c r="AB687" s="31">
        <v>0</v>
      </c>
      <c r="AC687" s="31">
        <f t="shared" si="261"/>
        <v>50825.74</v>
      </c>
      <c r="AD687" s="31">
        <v>150000</v>
      </c>
      <c r="AE687" s="31">
        <v>0</v>
      </c>
      <c r="AF687" s="34">
        <v>2021</v>
      </c>
      <c r="AG687" s="34">
        <v>2021</v>
      </c>
      <c r="AH687" s="35">
        <v>2021</v>
      </c>
      <c r="AT687" s="20" t="e">
        <f t="shared" si="257"/>
        <v>#N/A</v>
      </c>
    </row>
    <row r="688" spans="1:46" ht="61.5" x14ac:dyDescent="0.85">
      <c r="A688" s="20">
        <v>1</v>
      </c>
      <c r="B688" s="66">
        <f>SUBTOTAL(103,$A$567:A688)</f>
        <v>121</v>
      </c>
      <c r="C688" s="24" t="s">
        <v>480</v>
      </c>
      <c r="D688" s="31">
        <f t="shared" si="258"/>
        <v>998954.77999999991</v>
      </c>
      <c r="E688" s="31">
        <v>0</v>
      </c>
      <c r="F688" s="31">
        <v>0</v>
      </c>
      <c r="G688" s="31">
        <v>0</v>
      </c>
      <c r="H688" s="31">
        <v>0</v>
      </c>
      <c r="I688" s="31">
        <v>0</v>
      </c>
      <c r="J688" s="31">
        <v>0</v>
      </c>
      <c r="K688" s="33">
        <v>0</v>
      </c>
      <c r="L688" s="31">
        <v>0</v>
      </c>
      <c r="M688" s="31">
        <v>0</v>
      </c>
      <c r="N688" s="31">
        <v>0</v>
      </c>
      <c r="O688" s="31">
        <v>0</v>
      </c>
      <c r="P688" s="31">
        <v>0</v>
      </c>
      <c r="Q688" s="31">
        <v>409.5</v>
      </c>
      <c r="R688" s="31">
        <v>856113.08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0</v>
      </c>
      <c r="AA688" s="31">
        <v>0</v>
      </c>
      <c r="AB688" s="31">
        <v>0</v>
      </c>
      <c r="AC688" s="31">
        <f t="shared" ref="AC688" si="262">ROUND(R688*1.5%,2)</f>
        <v>12841.7</v>
      </c>
      <c r="AD688" s="31">
        <v>130000</v>
      </c>
      <c r="AE688" s="31">
        <v>0</v>
      </c>
      <c r="AF688" s="34">
        <v>2021</v>
      </c>
      <c r="AG688" s="34">
        <v>2021</v>
      </c>
      <c r="AH688" s="35">
        <v>2021</v>
      </c>
      <c r="AT688" s="20" t="e">
        <f t="shared" si="257"/>
        <v>#N/A</v>
      </c>
    </row>
    <row r="689" spans="1:46" ht="61.5" x14ac:dyDescent="0.85">
      <c r="A689" s="20">
        <v>1</v>
      </c>
      <c r="B689" s="66">
        <f>SUBTOTAL(103,$A$567:A689)</f>
        <v>122</v>
      </c>
      <c r="C689" s="24" t="s">
        <v>483</v>
      </c>
      <c r="D689" s="31">
        <f t="shared" si="258"/>
        <v>3504528.03</v>
      </c>
      <c r="E689" s="31">
        <f>177249.6+38106.82</f>
        <v>215356.42</v>
      </c>
      <c r="F689" s="31">
        <v>0</v>
      </c>
      <c r="G689" s="31">
        <v>2456692.4499999997</v>
      </c>
      <c r="H689" s="31">
        <v>0</v>
      </c>
      <c r="I689" s="31">
        <v>485121.6</v>
      </c>
      <c r="J689" s="31">
        <v>0</v>
      </c>
      <c r="K689" s="33">
        <v>0</v>
      </c>
      <c r="L689" s="31">
        <v>0</v>
      </c>
      <c r="M689" s="31">
        <v>0</v>
      </c>
      <c r="N689" s="31">
        <v>0</v>
      </c>
      <c r="O689" s="31">
        <v>0</v>
      </c>
      <c r="P689" s="31">
        <v>0</v>
      </c>
      <c r="Q689" s="31">
        <v>0</v>
      </c>
      <c r="R689" s="31">
        <v>0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v>0</v>
      </c>
      <c r="Y689" s="31">
        <v>0</v>
      </c>
      <c r="Z689" s="31">
        <v>0</v>
      </c>
      <c r="AA689" s="31">
        <v>0</v>
      </c>
      <c r="AB689" s="31">
        <v>0</v>
      </c>
      <c r="AC689" s="31">
        <f t="shared" ref="AC689" si="263">ROUND((E689+F689+G689+H689+I689+J689)*1.5%,2)</f>
        <v>47357.56</v>
      </c>
      <c r="AD689" s="31">
        <v>300000</v>
      </c>
      <c r="AE689" s="31">
        <v>0</v>
      </c>
      <c r="AF689" s="34">
        <v>2021</v>
      </c>
      <c r="AG689" s="34">
        <v>2021</v>
      </c>
      <c r="AH689" s="35">
        <v>2021</v>
      </c>
      <c r="AT689" s="20" t="e">
        <f t="shared" si="257"/>
        <v>#N/A</v>
      </c>
    </row>
    <row r="690" spans="1:46" ht="61.5" x14ac:dyDescent="0.85">
      <c r="A690" s="20">
        <v>1</v>
      </c>
      <c r="B690" s="66">
        <f>SUBTOTAL(103,$A$567:A690)</f>
        <v>123</v>
      </c>
      <c r="C690" s="24" t="s">
        <v>484</v>
      </c>
      <c r="D690" s="31">
        <f t="shared" si="258"/>
        <v>7806669.5300000003</v>
      </c>
      <c r="E690" s="31">
        <v>0</v>
      </c>
      <c r="F690" s="31">
        <v>0</v>
      </c>
      <c r="G690" s="31">
        <v>0</v>
      </c>
      <c r="H690" s="31">
        <v>0</v>
      </c>
      <c r="I690" s="31">
        <v>0</v>
      </c>
      <c r="J690" s="31">
        <v>0</v>
      </c>
      <c r="K690" s="33">
        <v>0</v>
      </c>
      <c r="L690" s="31">
        <v>0</v>
      </c>
      <c r="M690" s="31">
        <v>3073.45</v>
      </c>
      <c r="N690" s="31">
        <v>7513960.1299999999</v>
      </c>
      <c r="O690" s="31">
        <v>0</v>
      </c>
      <c r="P690" s="31">
        <v>0</v>
      </c>
      <c r="Q690" s="31">
        <v>0</v>
      </c>
      <c r="R690" s="31">
        <v>0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v>0</v>
      </c>
      <c r="Y690" s="31">
        <v>0</v>
      </c>
      <c r="Z690" s="31">
        <v>0</v>
      </c>
      <c r="AA690" s="31">
        <v>0</v>
      </c>
      <c r="AB690" s="31">
        <v>0</v>
      </c>
      <c r="AC690" s="31">
        <f>ROUND(N690*1.5%,2)</f>
        <v>112709.4</v>
      </c>
      <c r="AD690" s="31">
        <v>180000</v>
      </c>
      <c r="AE690" s="31">
        <v>0</v>
      </c>
      <c r="AF690" s="34">
        <v>2021</v>
      </c>
      <c r="AG690" s="34">
        <v>2021</v>
      </c>
      <c r="AH690" s="35">
        <v>2021</v>
      </c>
      <c r="AT690" s="20" t="e">
        <f t="shared" si="257"/>
        <v>#N/A</v>
      </c>
    </row>
    <row r="691" spans="1:46" ht="61.5" x14ac:dyDescent="0.85">
      <c r="A691" s="20">
        <v>1</v>
      </c>
      <c r="B691" s="66">
        <f>SUBTOTAL(103,$A$567:A691)</f>
        <v>124</v>
      </c>
      <c r="C691" s="24" t="s">
        <v>462</v>
      </c>
      <c r="D691" s="31">
        <f t="shared" si="258"/>
        <v>2928184.83</v>
      </c>
      <c r="E691" s="31">
        <v>0</v>
      </c>
      <c r="F691" s="31">
        <v>0</v>
      </c>
      <c r="G691" s="31">
        <v>0</v>
      </c>
      <c r="H691" s="31">
        <v>0</v>
      </c>
      <c r="I691" s="31">
        <v>0</v>
      </c>
      <c r="J691" s="31">
        <v>0</v>
      </c>
      <c r="K691" s="33">
        <v>0</v>
      </c>
      <c r="L691" s="31">
        <v>0</v>
      </c>
      <c r="M691" s="31">
        <v>528.5</v>
      </c>
      <c r="N691" s="31">
        <v>2884911.16</v>
      </c>
      <c r="O691" s="31">
        <v>0</v>
      </c>
      <c r="P691" s="31">
        <v>0</v>
      </c>
      <c r="Q691" s="31">
        <v>0</v>
      </c>
      <c r="R691" s="31">
        <v>0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v>0</v>
      </c>
      <c r="Y691" s="31">
        <v>0</v>
      </c>
      <c r="Z691" s="31">
        <v>0</v>
      </c>
      <c r="AA691" s="31">
        <v>0</v>
      </c>
      <c r="AB691" s="31">
        <v>0</v>
      </c>
      <c r="AC691" s="31">
        <f t="shared" ref="AC691:AC692" si="264">ROUND(N691*1.5%,2)</f>
        <v>43273.67</v>
      </c>
      <c r="AD691" s="31">
        <v>0</v>
      </c>
      <c r="AE691" s="31">
        <v>0</v>
      </c>
      <c r="AF691" s="34" t="s">
        <v>274</v>
      </c>
      <c r="AG691" s="34">
        <v>2021</v>
      </c>
      <c r="AH691" s="35">
        <v>2021</v>
      </c>
      <c r="AT691" s="20" t="e">
        <f t="shared" si="257"/>
        <v>#N/A</v>
      </c>
    </row>
    <row r="692" spans="1:46" ht="61.5" x14ac:dyDescent="0.85">
      <c r="A692" s="20">
        <v>1</v>
      </c>
      <c r="B692" s="66">
        <f>SUBTOTAL(103,$A$567:A692)</f>
        <v>125</v>
      </c>
      <c r="C692" s="24" t="s">
        <v>463</v>
      </c>
      <c r="D692" s="31">
        <f t="shared" si="258"/>
        <v>4800723</v>
      </c>
      <c r="E692" s="31">
        <v>0</v>
      </c>
      <c r="F692" s="31">
        <v>0</v>
      </c>
      <c r="G692" s="31">
        <v>0</v>
      </c>
      <c r="H692" s="31">
        <v>0</v>
      </c>
      <c r="I692" s="31">
        <v>0</v>
      </c>
      <c r="J692" s="31">
        <v>0</v>
      </c>
      <c r="K692" s="33">
        <v>0</v>
      </c>
      <c r="L692" s="31">
        <v>0</v>
      </c>
      <c r="M692" s="31">
        <v>850</v>
      </c>
      <c r="N692" s="31">
        <v>4729776.3499999996</v>
      </c>
      <c r="O692" s="31">
        <v>0</v>
      </c>
      <c r="P692" s="31">
        <v>0</v>
      </c>
      <c r="Q692" s="31">
        <v>0</v>
      </c>
      <c r="R692" s="31">
        <v>0</v>
      </c>
      <c r="S692" s="31">
        <v>0</v>
      </c>
      <c r="T692" s="31">
        <v>0</v>
      </c>
      <c r="U692" s="31">
        <v>0</v>
      </c>
      <c r="V692" s="31">
        <v>0</v>
      </c>
      <c r="W692" s="31">
        <v>0</v>
      </c>
      <c r="X692" s="31">
        <v>0</v>
      </c>
      <c r="Y692" s="31">
        <v>0</v>
      </c>
      <c r="Z692" s="31">
        <v>0</v>
      </c>
      <c r="AA692" s="31">
        <v>0</v>
      </c>
      <c r="AB692" s="31">
        <v>0</v>
      </c>
      <c r="AC692" s="31">
        <f t="shared" si="264"/>
        <v>70946.649999999994</v>
      </c>
      <c r="AD692" s="31">
        <v>0</v>
      </c>
      <c r="AE692" s="31">
        <v>0</v>
      </c>
      <c r="AF692" s="34" t="s">
        <v>274</v>
      </c>
      <c r="AG692" s="34">
        <v>2021</v>
      </c>
      <c r="AH692" s="35">
        <v>2021</v>
      </c>
      <c r="AT692" s="20" t="e">
        <f t="shared" si="257"/>
        <v>#N/A</v>
      </c>
    </row>
    <row r="693" spans="1:46" ht="61.5" x14ac:dyDescent="0.85">
      <c r="A693" s="20">
        <v>1</v>
      </c>
      <c r="B693" s="66">
        <f>SUBTOTAL(103,$A$567:A693)</f>
        <v>126</v>
      </c>
      <c r="C693" s="24" t="s">
        <v>1359</v>
      </c>
      <c r="D693" s="31">
        <f>E693+F693+G693+H693+I693+J693+L693+N693+P693+R693+T693+U693+V693+W693+X693+Y693+Z693+AA693+AB693+AC693+AD693+AE693</f>
        <v>3973949.34</v>
      </c>
      <c r="E693" s="31">
        <v>0</v>
      </c>
      <c r="F693" s="31">
        <v>0</v>
      </c>
      <c r="G693" s="31">
        <v>0</v>
      </c>
      <c r="H693" s="31">
        <v>0</v>
      </c>
      <c r="I693" s="31">
        <v>0</v>
      </c>
      <c r="J693" s="31">
        <v>0</v>
      </c>
      <c r="K693" s="33">
        <v>0</v>
      </c>
      <c r="L693" s="31">
        <v>0</v>
      </c>
      <c r="M693" s="31">
        <v>716.68</v>
      </c>
      <c r="N693" s="31">
        <v>3767437.77</v>
      </c>
      <c r="O693" s="31">
        <v>0</v>
      </c>
      <c r="P693" s="31">
        <v>0</v>
      </c>
      <c r="Q693" s="31">
        <v>0</v>
      </c>
      <c r="R693" s="31">
        <v>0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v>0</v>
      </c>
      <c r="Y693" s="31">
        <v>0</v>
      </c>
      <c r="Z693" s="31">
        <v>0</v>
      </c>
      <c r="AA693" s="31">
        <v>0</v>
      </c>
      <c r="AB693" s="31">
        <v>0</v>
      </c>
      <c r="AC693" s="31">
        <f t="shared" ref="AC693:AC694" si="265">ROUND(N693*1.5%,2)</f>
        <v>56511.57</v>
      </c>
      <c r="AD693" s="31">
        <v>150000</v>
      </c>
      <c r="AE693" s="31">
        <v>0</v>
      </c>
      <c r="AF693" s="34">
        <v>2021</v>
      </c>
      <c r="AG693" s="34">
        <v>2021</v>
      </c>
      <c r="AH693" s="35">
        <v>2021</v>
      </c>
      <c r="AT693" s="20" t="e">
        <f t="shared" si="257"/>
        <v>#N/A</v>
      </c>
    </row>
    <row r="694" spans="1:46" ht="61.5" x14ac:dyDescent="0.85">
      <c r="A694" s="20">
        <v>1</v>
      </c>
      <c r="B694" s="66">
        <f>SUBTOTAL(103,$A$567:A694)</f>
        <v>127</v>
      </c>
      <c r="C694" s="24" t="s">
        <v>482</v>
      </c>
      <c r="D694" s="31">
        <f>E694+F694+G694+H694+I694+J694+L694+N694+P694+R694+T694+U694+V694+W694+X694+Y694+Z694+AA694+AB694+AC694+AD694+AE694</f>
        <v>3793636.92</v>
      </c>
      <c r="E694" s="31">
        <v>0</v>
      </c>
      <c r="F694" s="31">
        <v>0</v>
      </c>
      <c r="G694" s="31">
        <v>0</v>
      </c>
      <c r="H694" s="31">
        <v>0</v>
      </c>
      <c r="I694" s="31">
        <v>0</v>
      </c>
      <c r="J694" s="31">
        <v>0</v>
      </c>
      <c r="K694" s="33">
        <v>0</v>
      </c>
      <c r="L694" s="31">
        <v>0</v>
      </c>
      <c r="M694" s="31">
        <v>724</v>
      </c>
      <c r="N694" s="31">
        <v>3589790.07</v>
      </c>
      <c r="O694" s="31">
        <v>0</v>
      </c>
      <c r="P694" s="31">
        <v>0</v>
      </c>
      <c r="Q694" s="31">
        <v>0</v>
      </c>
      <c r="R694" s="31">
        <v>0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v>0</v>
      </c>
      <c r="Y694" s="31">
        <v>0</v>
      </c>
      <c r="Z694" s="31">
        <v>0</v>
      </c>
      <c r="AA694" s="31">
        <v>0</v>
      </c>
      <c r="AB694" s="31">
        <v>0</v>
      </c>
      <c r="AC694" s="31">
        <f t="shared" si="265"/>
        <v>53846.85</v>
      </c>
      <c r="AD694" s="31">
        <v>150000</v>
      </c>
      <c r="AE694" s="31">
        <v>0</v>
      </c>
      <c r="AF694" s="34">
        <v>2021</v>
      </c>
      <c r="AG694" s="34">
        <v>2021</v>
      </c>
      <c r="AH694" s="35">
        <v>2021</v>
      </c>
      <c r="AT694" s="20" t="e">
        <f t="shared" si="257"/>
        <v>#N/A</v>
      </c>
    </row>
    <row r="695" spans="1:46" ht="61.5" x14ac:dyDescent="0.85">
      <c r="B695" s="24" t="s">
        <v>800</v>
      </c>
      <c r="C695" s="117"/>
      <c r="D695" s="31">
        <f>SUM(D696:D750)</f>
        <v>95396897.950000003</v>
      </c>
      <c r="E695" s="31">
        <f t="shared" ref="E695:AE695" si="266">SUM(E696:E750)</f>
        <v>0</v>
      </c>
      <c r="F695" s="31">
        <f t="shared" si="266"/>
        <v>0</v>
      </c>
      <c r="G695" s="31">
        <f t="shared" si="266"/>
        <v>0</v>
      </c>
      <c r="H695" s="31">
        <f t="shared" si="266"/>
        <v>150356.32999999999</v>
      </c>
      <c r="I695" s="31">
        <f t="shared" si="266"/>
        <v>1855761.8599999999</v>
      </c>
      <c r="J695" s="31">
        <f t="shared" si="266"/>
        <v>0</v>
      </c>
      <c r="K695" s="33">
        <f t="shared" si="266"/>
        <v>1</v>
      </c>
      <c r="L695" s="31">
        <f t="shared" si="266"/>
        <v>2116554.6800000002</v>
      </c>
      <c r="M695" s="31">
        <f t="shared" si="266"/>
        <v>16385</v>
      </c>
      <c r="N695" s="31">
        <f t="shared" si="266"/>
        <v>77738062.390000001</v>
      </c>
      <c r="O695" s="31">
        <f t="shared" si="266"/>
        <v>0</v>
      </c>
      <c r="P695" s="31">
        <f t="shared" si="266"/>
        <v>0</v>
      </c>
      <c r="Q695" s="31">
        <f t="shared" si="266"/>
        <v>947</v>
      </c>
      <c r="R695" s="31">
        <f t="shared" si="266"/>
        <v>4699507.3899999997</v>
      </c>
      <c r="S695" s="31">
        <f t="shared" si="266"/>
        <v>0</v>
      </c>
      <c r="T695" s="31">
        <f t="shared" si="266"/>
        <v>0</v>
      </c>
      <c r="U695" s="31">
        <f t="shared" si="266"/>
        <v>0</v>
      </c>
      <c r="V695" s="31">
        <f t="shared" si="266"/>
        <v>0</v>
      </c>
      <c r="W695" s="31">
        <f t="shared" si="266"/>
        <v>0</v>
      </c>
      <c r="X695" s="31">
        <f t="shared" si="266"/>
        <v>0</v>
      </c>
      <c r="Y695" s="31">
        <f t="shared" si="266"/>
        <v>0</v>
      </c>
      <c r="Z695" s="31">
        <f t="shared" si="266"/>
        <v>0</v>
      </c>
      <c r="AA695" s="31">
        <f t="shared" si="266"/>
        <v>0</v>
      </c>
      <c r="AB695" s="31">
        <f t="shared" si="266"/>
        <v>0</v>
      </c>
      <c r="AC695" s="31">
        <f t="shared" si="266"/>
        <v>1266655.3000000003</v>
      </c>
      <c r="AD695" s="31">
        <f t="shared" si="266"/>
        <v>7450000</v>
      </c>
      <c r="AE695" s="31">
        <f t="shared" si="266"/>
        <v>120000</v>
      </c>
      <c r="AF695" s="72" t="s">
        <v>794</v>
      </c>
      <c r="AG695" s="72" t="s">
        <v>794</v>
      </c>
      <c r="AH695" s="91" t="s">
        <v>794</v>
      </c>
      <c r="AT695" s="20" t="e">
        <f t="shared" si="257"/>
        <v>#N/A</v>
      </c>
    </row>
    <row r="696" spans="1:46" ht="61.5" x14ac:dyDescent="0.85">
      <c r="A696" s="20">
        <v>1</v>
      </c>
      <c r="B696" s="66">
        <f>SUBTOTAL(103,$A$567:A696)</f>
        <v>128</v>
      </c>
      <c r="C696" s="24" t="s">
        <v>418</v>
      </c>
      <c r="D696" s="31">
        <f t="shared" ref="D696:D750" si="267">E696+F696+G696+H696+I696+J696+L696+N696+P696+R696+T696+U696+V696+W696+X696+Y696+Z696+AA696+AB696+AC696+AD696+AE696</f>
        <v>6634502.3200000003</v>
      </c>
      <c r="E696" s="31">
        <v>0</v>
      </c>
      <c r="F696" s="31">
        <v>0</v>
      </c>
      <c r="G696" s="31">
        <v>0</v>
      </c>
      <c r="H696" s="31">
        <v>0</v>
      </c>
      <c r="I696" s="31">
        <v>0</v>
      </c>
      <c r="J696" s="31">
        <v>0</v>
      </c>
      <c r="K696" s="33">
        <v>0</v>
      </c>
      <c r="L696" s="31">
        <v>0</v>
      </c>
      <c r="M696" s="31">
        <v>1397</v>
      </c>
      <c r="N696" s="31">
        <v>6359115.5899999999</v>
      </c>
      <c r="O696" s="31">
        <v>0</v>
      </c>
      <c r="P696" s="31">
        <v>0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0</v>
      </c>
      <c r="AA696" s="31">
        <v>0</v>
      </c>
      <c r="AB696" s="31">
        <v>0</v>
      </c>
      <c r="AC696" s="31">
        <f>ROUND(N696*1.5%,2)</f>
        <v>95386.73</v>
      </c>
      <c r="AD696" s="31">
        <v>180000</v>
      </c>
      <c r="AE696" s="31">
        <v>0</v>
      </c>
      <c r="AF696" s="34">
        <v>2021</v>
      </c>
      <c r="AG696" s="34">
        <v>2021</v>
      </c>
      <c r="AH696" s="35">
        <v>2021</v>
      </c>
      <c r="AT696" s="20" t="e">
        <f t="shared" si="257"/>
        <v>#N/A</v>
      </c>
    </row>
    <row r="697" spans="1:46" ht="61.5" x14ac:dyDescent="0.85">
      <c r="A697" s="20">
        <v>1</v>
      </c>
      <c r="B697" s="66">
        <f>SUBTOTAL(103,$A$567:A697)</f>
        <v>129</v>
      </c>
      <c r="C697" s="24" t="s">
        <v>419</v>
      </c>
      <c r="D697" s="31">
        <f t="shared" si="267"/>
        <v>2216554.6800000002</v>
      </c>
      <c r="E697" s="31">
        <v>0</v>
      </c>
      <c r="F697" s="31">
        <v>0</v>
      </c>
      <c r="G697" s="31">
        <v>0</v>
      </c>
      <c r="H697" s="31">
        <v>0</v>
      </c>
      <c r="I697" s="31">
        <v>0</v>
      </c>
      <c r="J697" s="31">
        <v>0</v>
      </c>
      <c r="K697" s="33">
        <v>1</v>
      </c>
      <c r="L697" s="31">
        <v>2116554.6800000002</v>
      </c>
      <c r="M697" s="31">
        <v>0</v>
      </c>
      <c r="N697" s="31">
        <v>0</v>
      </c>
      <c r="O697" s="31">
        <v>0</v>
      </c>
      <c r="P697" s="31">
        <v>0</v>
      </c>
      <c r="Q697" s="31">
        <v>0</v>
      </c>
      <c r="R697" s="31">
        <v>0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v>0</v>
      </c>
      <c r="Y697" s="31">
        <v>0</v>
      </c>
      <c r="Z697" s="31">
        <v>0</v>
      </c>
      <c r="AA697" s="31">
        <v>0</v>
      </c>
      <c r="AB697" s="31">
        <v>0</v>
      </c>
      <c r="AC697" s="31">
        <v>0</v>
      </c>
      <c r="AD697" s="31">
        <v>100000</v>
      </c>
      <c r="AE697" s="31">
        <v>0</v>
      </c>
      <c r="AF697" s="34">
        <v>2021</v>
      </c>
      <c r="AG697" s="34">
        <v>2021</v>
      </c>
      <c r="AH697" s="35" t="s">
        <v>274</v>
      </c>
      <c r="AT697" s="20">
        <f t="shared" si="257"/>
        <v>1</v>
      </c>
    </row>
    <row r="698" spans="1:46" ht="61.5" x14ac:dyDescent="0.85">
      <c r="A698" s="20">
        <v>1</v>
      </c>
      <c r="B698" s="66">
        <f>SUBTOTAL(103,$A$567:A698)</f>
        <v>130</v>
      </c>
      <c r="C698" s="24" t="s">
        <v>420</v>
      </c>
      <c r="D698" s="31">
        <f t="shared" si="267"/>
        <v>4590000</v>
      </c>
      <c r="E698" s="31">
        <v>0</v>
      </c>
      <c r="F698" s="31">
        <v>0</v>
      </c>
      <c r="G698" s="31">
        <v>0</v>
      </c>
      <c r="H698" s="31">
        <v>0</v>
      </c>
      <c r="I698" s="31">
        <v>0</v>
      </c>
      <c r="J698" s="31">
        <v>0</v>
      </c>
      <c r="K698" s="33">
        <v>0</v>
      </c>
      <c r="L698" s="31">
        <v>0</v>
      </c>
      <c r="M698" s="31">
        <v>918</v>
      </c>
      <c r="N698" s="31">
        <v>4374384.24</v>
      </c>
      <c r="O698" s="31">
        <v>0</v>
      </c>
      <c r="P698" s="31">
        <v>0</v>
      </c>
      <c r="Q698" s="31">
        <v>0</v>
      </c>
      <c r="R698" s="31">
        <v>0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v>0</v>
      </c>
      <c r="Y698" s="31">
        <v>0</v>
      </c>
      <c r="Z698" s="31">
        <v>0</v>
      </c>
      <c r="AA698" s="31">
        <v>0</v>
      </c>
      <c r="AB698" s="31">
        <v>0</v>
      </c>
      <c r="AC698" s="31">
        <f t="shared" ref="AC698:AC701" si="268">ROUND(N698*1.5%,2)</f>
        <v>65615.759999999995</v>
      </c>
      <c r="AD698" s="31">
        <v>150000</v>
      </c>
      <c r="AE698" s="31">
        <v>0</v>
      </c>
      <c r="AF698" s="34">
        <v>2021</v>
      </c>
      <c r="AG698" s="34">
        <v>2021</v>
      </c>
      <c r="AH698" s="35">
        <v>2021</v>
      </c>
      <c r="AT698" s="20" t="e">
        <f t="shared" si="257"/>
        <v>#N/A</v>
      </c>
    </row>
    <row r="699" spans="1:46" ht="61.5" x14ac:dyDescent="0.85">
      <c r="A699" s="20">
        <v>1</v>
      </c>
      <c r="B699" s="66">
        <f>SUBTOTAL(103,$A$567:A699)</f>
        <v>131</v>
      </c>
      <c r="C699" s="24" t="s">
        <v>421</v>
      </c>
      <c r="D699" s="31">
        <f t="shared" si="267"/>
        <v>3250000</v>
      </c>
      <c r="E699" s="31">
        <v>0</v>
      </c>
      <c r="F699" s="31">
        <v>0</v>
      </c>
      <c r="G699" s="31">
        <v>0</v>
      </c>
      <c r="H699" s="31">
        <v>0</v>
      </c>
      <c r="I699" s="31">
        <v>0</v>
      </c>
      <c r="J699" s="31">
        <v>0</v>
      </c>
      <c r="K699" s="33">
        <v>0</v>
      </c>
      <c r="L699" s="31">
        <v>0</v>
      </c>
      <c r="M699" s="31">
        <v>650</v>
      </c>
      <c r="N699" s="31">
        <v>3054187.19</v>
      </c>
      <c r="O699" s="31">
        <v>0</v>
      </c>
      <c r="P699" s="31">
        <v>0</v>
      </c>
      <c r="Q699" s="31">
        <v>0</v>
      </c>
      <c r="R699" s="31">
        <v>0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v>0</v>
      </c>
      <c r="Y699" s="31">
        <v>0</v>
      </c>
      <c r="Z699" s="31">
        <v>0</v>
      </c>
      <c r="AA699" s="31">
        <v>0</v>
      </c>
      <c r="AB699" s="31">
        <v>0</v>
      </c>
      <c r="AC699" s="31">
        <f t="shared" si="268"/>
        <v>45812.81</v>
      </c>
      <c r="AD699" s="31">
        <v>150000</v>
      </c>
      <c r="AE699" s="31">
        <v>0</v>
      </c>
      <c r="AF699" s="34">
        <v>2021</v>
      </c>
      <c r="AG699" s="34">
        <v>2021</v>
      </c>
      <c r="AH699" s="35">
        <v>2021</v>
      </c>
      <c r="AT699" s="20" t="e">
        <f t="shared" si="257"/>
        <v>#N/A</v>
      </c>
    </row>
    <row r="700" spans="1:46" ht="61.5" x14ac:dyDescent="0.85">
      <c r="A700" s="20">
        <v>1</v>
      </c>
      <c r="B700" s="66">
        <f>SUBTOTAL(103,$A$567:A700)</f>
        <v>132</v>
      </c>
      <c r="C700" s="24" t="s">
        <v>422</v>
      </c>
      <c r="D700" s="31">
        <f t="shared" si="267"/>
        <v>3100000</v>
      </c>
      <c r="E700" s="31">
        <v>0</v>
      </c>
      <c r="F700" s="31">
        <v>0</v>
      </c>
      <c r="G700" s="31">
        <v>0</v>
      </c>
      <c r="H700" s="31">
        <v>0</v>
      </c>
      <c r="I700" s="31">
        <v>0</v>
      </c>
      <c r="J700" s="31">
        <v>0</v>
      </c>
      <c r="K700" s="33">
        <v>0</v>
      </c>
      <c r="L700" s="31">
        <v>0</v>
      </c>
      <c r="M700" s="31">
        <v>620</v>
      </c>
      <c r="N700" s="31">
        <v>2906403.94</v>
      </c>
      <c r="O700" s="31">
        <v>0</v>
      </c>
      <c r="P700" s="31">
        <v>0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v>0</v>
      </c>
      <c r="Y700" s="31">
        <v>0</v>
      </c>
      <c r="Z700" s="31">
        <v>0</v>
      </c>
      <c r="AA700" s="31">
        <v>0</v>
      </c>
      <c r="AB700" s="31">
        <v>0</v>
      </c>
      <c r="AC700" s="31">
        <f t="shared" si="268"/>
        <v>43596.06</v>
      </c>
      <c r="AD700" s="31">
        <v>150000</v>
      </c>
      <c r="AE700" s="31">
        <v>0</v>
      </c>
      <c r="AF700" s="34">
        <v>2021</v>
      </c>
      <c r="AG700" s="34">
        <v>2021</v>
      </c>
      <c r="AH700" s="35">
        <v>2021</v>
      </c>
      <c r="AT700" s="20" t="e">
        <f t="shared" si="257"/>
        <v>#N/A</v>
      </c>
    </row>
    <row r="701" spans="1:46" ht="61.5" x14ac:dyDescent="0.85">
      <c r="A701" s="20">
        <v>1</v>
      </c>
      <c r="B701" s="66">
        <f>SUBTOTAL(103,$A$567:A701)</f>
        <v>133</v>
      </c>
      <c r="C701" s="24" t="s">
        <v>423</v>
      </c>
      <c r="D701" s="31">
        <f t="shared" si="267"/>
        <v>3000000</v>
      </c>
      <c r="E701" s="31">
        <v>0</v>
      </c>
      <c r="F701" s="31">
        <v>0</v>
      </c>
      <c r="G701" s="31">
        <v>0</v>
      </c>
      <c r="H701" s="31">
        <v>0</v>
      </c>
      <c r="I701" s="31">
        <v>0</v>
      </c>
      <c r="J701" s="31">
        <v>0</v>
      </c>
      <c r="K701" s="33">
        <v>0</v>
      </c>
      <c r="L701" s="31">
        <v>0</v>
      </c>
      <c r="M701" s="31">
        <v>600</v>
      </c>
      <c r="N701" s="31">
        <v>2807881.77</v>
      </c>
      <c r="O701" s="31">
        <v>0</v>
      </c>
      <c r="P701" s="31">
        <v>0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v>0</v>
      </c>
      <c r="Y701" s="31">
        <v>0</v>
      </c>
      <c r="Z701" s="31">
        <v>0</v>
      </c>
      <c r="AA701" s="31">
        <v>0</v>
      </c>
      <c r="AB701" s="31">
        <v>0</v>
      </c>
      <c r="AC701" s="31">
        <f t="shared" si="268"/>
        <v>42118.23</v>
      </c>
      <c r="AD701" s="31">
        <v>150000</v>
      </c>
      <c r="AE701" s="31">
        <v>0</v>
      </c>
      <c r="AF701" s="34">
        <v>2021</v>
      </c>
      <c r="AG701" s="34">
        <v>2021</v>
      </c>
      <c r="AH701" s="35">
        <v>2021</v>
      </c>
      <c r="AT701" s="20" t="e">
        <f t="shared" si="257"/>
        <v>#N/A</v>
      </c>
    </row>
    <row r="702" spans="1:46" ht="61.5" x14ac:dyDescent="0.85">
      <c r="A702" s="20">
        <v>1</v>
      </c>
      <c r="B702" s="66">
        <f>SUBTOTAL(103,$A$567:A702)</f>
        <v>134</v>
      </c>
      <c r="C702" s="24" t="s">
        <v>203</v>
      </c>
      <c r="D702" s="31">
        <f t="shared" si="267"/>
        <v>686139</v>
      </c>
      <c r="E702" s="31">
        <v>0</v>
      </c>
      <c r="F702" s="31">
        <v>0</v>
      </c>
      <c r="G702" s="31">
        <v>0</v>
      </c>
      <c r="H702" s="31">
        <v>150356.32999999999</v>
      </c>
      <c r="I702" s="31">
        <v>456677.17</v>
      </c>
      <c r="J702" s="31">
        <v>0</v>
      </c>
      <c r="K702" s="33">
        <v>0</v>
      </c>
      <c r="L702" s="31">
        <v>0</v>
      </c>
      <c r="M702" s="31">
        <v>0</v>
      </c>
      <c r="N702" s="31">
        <v>0</v>
      </c>
      <c r="O702" s="31">
        <v>0</v>
      </c>
      <c r="P702" s="31">
        <v>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0</v>
      </c>
      <c r="Y702" s="31">
        <v>0</v>
      </c>
      <c r="Z702" s="31">
        <v>0</v>
      </c>
      <c r="AA702" s="31">
        <v>0</v>
      </c>
      <c r="AB702" s="31">
        <v>0</v>
      </c>
      <c r="AC702" s="31">
        <f t="shared" ref="AC702:AC704" si="269">ROUND((E702+F702+G702+H702+I702+J702)*1.5%,2)</f>
        <v>9105.5</v>
      </c>
      <c r="AD702" s="31">
        <v>70000</v>
      </c>
      <c r="AE702" s="31">
        <v>0</v>
      </c>
      <c r="AF702" s="34">
        <v>2021</v>
      </c>
      <c r="AG702" s="34">
        <v>2021</v>
      </c>
      <c r="AH702" s="35">
        <v>2021</v>
      </c>
      <c r="AT702" s="20" t="e">
        <f t="shared" si="257"/>
        <v>#N/A</v>
      </c>
    </row>
    <row r="703" spans="1:46" ht="61.5" x14ac:dyDescent="0.85">
      <c r="A703" s="20">
        <v>1</v>
      </c>
      <c r="B703" s="66">
        <f>SUBTOTAL(103,$A$567:A703)</f>
        <v>135</v>
      </c>
      <c r="C703" s="24" t="s">
        <v>204</v>
      </c>
      <c r="D703" s="31">
        <f t="shared" si="267"/>
        <v>783943</v>
      </c>
      <c r="E703" s="31">
        <v>0</v>
      </c>
      <c r="F703" s="31">
        <v>0</v>
      </c>
      <c r="G703" s="31">
        <v>0</v>
      </c>
      <c r="H703" s="31">
        <v>0</v>
      </c>
      <c r="I703" s="31">
        <v>703392.12</v>
      </c>
      <c r="J703" s="31">
        <v>0</v>
      </c>
      <c r="K703" s="33">
        <v>0</v>
      </c>
      <c r="L703" s="31">
        <v>0</v>
      </c>
      <c r="M703" s="31">
        <v>0</v>
      </c>
      <c r="N703" s="31">
        <v>0</v>
      </c>
      <c r="O703" s="31">
        <v>0</v>
      </c>
      <c r="P703" s="31">
        <v>0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1">
        <v>0</v>
      </c>
      <c r="Y703" s="31">
        <v>0</v>
      </c>
      <c r="Z703" s="31">
        <v>0</v>
      </c>
      <c r="AA703" s="31">
        <v>0</v>
      </c>
      <c r="AB703" s="31">
        <v>0</v>
      </c>
      <c r="AC703" s="31">
        <f t="shared" si="269"/>
        <v>10550.88</v>
      </c>
      <c r="AD703" s="31">
        <v>70000</v>
      </c>
      <c r="AE703" s="31">
        <v>0</v>
      </c>
      <c r="AF703" s="34">
        <v>2021</v>
      </c>
      <c r="AG703" s="34">
        <v>2021</v>
      </c>
      <c r="AH703" s="35">
        <v>2021</v>
      </c>
      <c r="AT703" s="20" t="e">
        <f t="shared" si="257"/>
        <v>#N/A</v>
      </c>
    </row>
    <row r="704" spans="1:46" ht="61.5" x14ac:dyDescent="0.85">
      <c r="A704" s="20">
        <v>1</v>
      </c>
      <c r="B704" s="66">
        <f>SUBTOTAL(103,$A$567:A704)</f>
        <v>136</v>
      </c>
      <c r="C704" s="24" t="s">
        <v>205</v>
      </c>
      <c r="D704" s="31">
        <f t="shared" si="267"/>
        <v>776127.96</v>
      </c>
      <c r="E704" s="31">
        <v>0</v>
      </c>
      <c r="F704" s="31">
        <v>0</v>
      </c>
      <c r="G704" s="31">
        <v>0</v>
      </c>
      <c r="H704" s="31">
        <v>0</v>
      </c>
      <c r="I704" s="31">
        <v>695692.57</v>
      </c>
      <c r="J704" s="31">
        <v>0</v>
      </c>
      <c r="K704" s="33">
        <v>0</v>
      </c>
      <c r="L704" s="31">
        <v>0</v>
      </c>
      <c r="M704" s="31">
        <v>0</v>
      </c>
      <c r="N704" s="31">
        <v>0</v>
      </c>
      <c r="O704" s="31">
        <v>0</v>
      </c>
      <c r="P704" s="31">
        <v>0</v>
      </c>
      <c r="Q704" s="31">
        <v>0</v>
      </c>
      <c r="R704" s="31">
        <v>0</v>
      </c>
      <c r="S704" s="31">
        <v>0</v>
      </c>
      <c r="T704" s="31">
        <v>0</v>
      </c>
      <c r="U704" s="31">
        <v>0</v>
      </c>
      <c r="V704" s="31">
        <v>0</v>
      </c>
      <c r="W704" s="31">
        <v>0</v>
      </c>
      <c r="X704" s="31">
        <v>0</v>
      </c>
      <c r="Y704" s="31">
        <v>0</v>
      </c>
      <c r="Z704" s="31">
        <v>0</v>
      </c>
      <c r="AA704" s="31">
        <v>0</v>
      </c>
      <c r="AB704" s="31">
        <v>0</v>
      </c>
      <c r="AC704" s="31">
        <f t="shared" si="269"/>
        <v>10435.39</v>
      </c>
      <c r="AD704" s="31">
        <v>70000</v>
      </c>
      <c r="AE704" s="31">
        <v>0</v>
      </c>
      <c r="AF704" s="34">
        <v>2021</v>
      </c>
      <c r="AG704" s="34">
        <v>2021</v>
      </c>
      <c r="AH704" s="35">
        <v>2021</v>
      </c>
      <c r="AT704" s="20" t="e">
        <f t="shared" si="257"/>
        <v>#N/A</v>
      </c>
    </row>
    <row r="705" spans="1:46" ht="61.5" x14ac:dyDescent="0.85">
      <c r="A705" s="20">
        <v>1</v>
      </c>
      <c r="B705" s="66">
        <f>SUBTOTAL(103,$A$567:A705)</f>
        <v>137</v>
      </c>
      <c r="C705" s="24" t="s">
        <v>424</v>
      </c>
      <c r="D705" s="31">
        <f t="shared" si="267"/>
        <v>2375000</v>
      </c>
      <c r="E705" s="31">
        <v>0</v>
      </c>
      <c r="F705" s="31">
        <v>0</v>
      </c>
      <c r="G705" s="31">
        <v>0</v>
      </c>
      <c r="H705" s="31">
        <v>0</v>
      </c>
      <c r="I705" s="31">
        <v>0</v>
      </c>
      <c r="J705" s="31">
        <v>0</v>
      </c>
      <c r="K705" s="33">
        <v>0</v>
      </c>
      <c r="L705" s="31">
        <v>0</v>
      </c>
      <c r="M705" s="31">
        <v>477</v>
      </c>
      <c r="N705" s="31">
        <v>2221674.88</v>
      </c>
      <c r="O705" s="31">
        <v>0</v>
      </c>
      <c r="P705" s="31">
        <v>0</v>
      </c>
      <c r="Q705" s="31">
        <v>0</v>
      </c>
      <c r="R705" s="31">
        <v>0</v>
      </c>
      <c r="S705" s="31">
        <v>0</v>
      </c>
      <c r="T705" s="31">
        <v>0</v>
      </c>
      <c r="U705" s="31">
        <v>0</v>
      </c>
      <c r="V705" s="31">
        <v>0</v>
      </c>
      <c r="W705" s="31">
        <v>0</v>
      </c>
      <c r="X705" s="31">
        <v>0</v>
      </c>
      <c r="Y705" s="31">
        <v>0</v>
      </c>
      <c r="Z705" s="31">
        <v>0</v>
      </c>
      <c r="AA705" s="31">
        <v>0</v>
      </c>
      <c r="AB705" s="31">
        <v>0</v>
      </c>
      <c r="AC705" s="31">
        <f t="shared" ref="AC705:AC720" si="270">ROUND(N705*1.5%,2)</f>
        <v>33325.120000000003</v>
      </c>
      <c r="AD705" s="31">
        <v>120000</v>
      </c>
      <c r="AE705" s="31">
        <v>0</v>
      </c>
      <c r="AF705" s="34">
        <v>2021</v>
      </c>
      <c r="AG705" s="34">
        <v>2021</v>
      </c>
      <c r="AH705" s="35">
        <v>2021</v>
      </c>
      <c r="AT705" s="20" t="e">
        <f t="shared" si="257"/>
        <v>#N/A</v>
      </c>
    </row>
    <row r="706" spans="1:46" ht="61.5" x14ac:dyDescent="0.85">
      <c r="A706" s="20">
        <v>1</v>
      </c>
      <c r="B706" s="66">
        <f>SUBTOTAL(103,$A$567:A706)</f>
        <v>138</v>
      </c>
      <c r="C706" s="24" t="s">
        <v>425</v>
      </c>
      <c r="D706" s="31">
        <f t="shared" si="267"/>
        <v>2360000</v>
      </c>
      <c r="E706" s="31">
        <v>0</v>
      </c>
      <c r="F706" s="31">
        <v>0</v>
      </c>
      <c r="G706" s="31">
        <v>0</v>
      </c>
      <c r="H706" s="31">
        <v>0</v>
      </c>
      <c r="I706" s="31">
        <v>0</v>
      </c>
      <c r="J706" s="31">
        <v>0</v>
      </c>
      <c r="K706" s="33">
        <v>0</v>
      </c>
      <c r="L706" s="31">
        <v>0</v>
      </c>
      <c r="M706" s="31">
        <v>472</v>
      </c>
      <c r="N706" s="31">
        <v>2206896.5499999998</v>
      </c>
      <c r="O706" s="31">
        <v>0</v>
      </c>
      <c r="P706" s="31">
        <v>0</v>
      </c>
      <c r="Q706" s="31">
        <v>0</v>
      </c>
      <c r="R706" s="31">
        <v>0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v>0</v>
      </c>
      <c r="Y706" s="31">
        <v>0</v>
      </c>
      <c r="Z706" s="31">
        <v>0</v>
      </c>
      <c r="AA706" s="31">
        <v>0</v>
      </c>
      <c r="AB706" s="31">
        <v>0</v>
      </c>
      <c r="AC706" s="31">
        <f t="shared" si="270"/>
        <v>33103.449999999997</v>
      </c>
      <c r="AD706" s="31">
        <v>120000</v>
      </c>
      <c r="AE706" s="31">
        <v>0</v>
      </c>
      <c r="AF706" s="34">
        <v>2021</v>
      </c>
      <c r="AG706" s="34">
        <v>2021</v>
      </c>
      <c r="AH706" s="35">
        <v>2021</v>
      </c>
      <c r="AT706" s="20" t="e">
        <f t="shared" si="257"/>
        <v>#N/A</v>
      </c>
    </row>
    <row r="707" spans="1:46" ht="61.5" x14ac:dyDescent="0.85">
      <c r="A707" s="20">
        <v>1</v>
      </c>
      <c r="B707" s="66">
        <f>SUBTOTAL(103,$A$567:A707)</f>
        <v>139</v>
      </c>
      <c r="C707" s="24" t="s">
        <v>426</v>
      </c>
      <c r="D707" s="31">
        <f t="shared" si="267"/>
        <v>2345000</v>
      </c>
      <c r="E707" s="31">
        <v>0</v>
      </c>
      <c r="F707" s="31">
        <v>0</v>
      </c>
      <c r="G707" s="31">
        <v>0</v>
      </c>
      <c r="H707" s="31">
        <v>0</v>
      </c>
      <c r="I707" s="31">
        <v>0</v>
      </c>
      <c r="J707" s="31">
        <v>0</v>
      </c>
      <c r="K707" s="33">
        <v>0</v>
      </c>
      <c r="L707" s="31">
        <v>0</v>
      </c>
      <c r="M707" s="31">
        <v>469</v>
      </c>
      <c r="N707" s="31">
        <v>2192118.23</v>
      </c>
      <c r="O707" s="31">
        <v>0</v>
      </c>
      <c r="P707" s="31">
        <v>0</v>
      </c>
      <c r="Q707" s="31">
        <v>0</v>
      </c>
      <c r="R707" s="31">
        <v>0</v>
      </c>
      <c r="S707" s="31">
        <v>0</v>
      </c>
      <c r="T707" s="31">
        <v>0</v>
      </c>
      <c r="U707" s="31">
        <v>0</v>
      </c>
      <c r="V707" s="31">
        <v>0</v>
      </c>
      <c r="W707" s="31">
        <v>0</v>
      </c>
      <c r="X707" s="31">
        <v>0</v>
      </c>
      <c r="Y707" s="31">
        <v>0</v>
      </c>
      <c r="Z707" s="31">
        <v>0</v>
      </c>
      <c r="AA707" s="31">
        <v>0</v>
      </c>
      <c r="AB707" s="31">
        <v>0</v>
      </c>
      <c r="AC707" s="31">
        <f t="shared" si="270"/>
        <v>32881.769999999997</v>
      </c>
      <c r="AD707" s="31">
        <v>120000</v>
      </c>
      <c r="AE707" s="31">
        <v>0</v>
      </c>
      <c r="AF707" s="34">
        <v>2021</v>
      </c>
      <c r="AG707" s="34">
        <v>2021</v>
      </c>
      <c r="AH707" s="35">
        <v>2021</v>
      </c>
      <c r="AT707" s="20" t="e">
        <f t="shared" si="257"/>
        <v>#N/A</v>
      </c>
    </row>
    <row r="708" spans="1:46" ht="61.5" x14ac:dyDescent="0.85">
      <c r="A708" s="20">
        <v>1</v>
      </c>
      <c r="B708" s="66">
        <f>SUBTOTAL(103,$A$567:A708)</f>
        <v>140</v>
      </c>
      <c r="C708" s="24" t="s">
        <v>427</v>
      </c>
      <c r="D708" s="31">
        <f t="shared" si="267"/>
        <v>6570450</v>
      </c>
      <c r="E708" s="31">
        <v>0</v>
      </c>
      <c r="F708" s="31">
        <v>0</v>
      </c>
      <c r="G708" s="31">
        <v>0</v>
      </c>
      <c r="H708" s="31">
        <v>0</v>
      </c>
      <c r="I708" s="31">
        <v>0</v>
      </c>
      <c r="J708" s="31">
        <v>0</v>
      </c>
      <c r="K708" s="33">
        <v>0</v>
      </c>
      <c r="L708" s="31">
        <v>0</v>
      </c>
      <c r="M708" s="31">
        <v>1314</v>
      </c>
      <c r="N708" s="31">
        <v>6296009.8499999996</v>
      </c>
      <c r="O708" s="31">
        <v>0</v>
      </c>
      <c r="P708" s="31">
        <v>0</v>
      </c>
      <c r="Q708" s="31">
        <v>0</v>
      </c>
      <c r="R708" s="31">
        <v>0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v>0</v>
      </c>
      <c r="Y708" s="31">
        <v>0</v>
      </c>
      <c r="Z708" s="31">
        <v>0</v>
      </c>
      <c r="AA708" s="31">
        <v>0</v>
      </c>
      <c r="AB708" s="31">
        <v>0</v>
      </c>
      <c r="AC708" s="31">
        <f t="shared" si="270"/>
        <v>94440.15</v>
      </c>
      <c r="AD708" s="31">
        <v>180000</v>
      </c>
      <c r="AE708" s="31">
        <v>0</v>
      </c>
      <c r="AF708" s="34">
        <v>2021</v>
      </c>
      <c r="AG708" s="34">
        <v>2021</v>
      </c>
      <c r="AH708" s="35">
        <v>2021</v>
      </c>
      <c r="AT708" s="20" t="e">
        <f t="shared" si="257"/>
        <v>#N/A</v>
      </c>
    </row>
    <row r="709" spans="1:46" ht="61.5" x14ac:dyDescent="0.85">
      <c r="A709" s="20">
        <v>1</v>
      </c>
      <c r="B709" s="66">
        <f>SUBTOTAL(103,$A$567:A709)</f>
        <v>141</v>
      </c>
      <c r="C709" s="24" t="s">
        <v>428</v>
      </c>
      <c r="D709" s="31">
        <f t="shared" si="267"/>
        <v>5669999.9900000002</v>
      </c>
      <c r="E709" s="31">
        <v>0</v>
      </c>
      <c r="F709" s="31">
        <v>0</v>
      </c>
      <c r="G709" s="31">
        <v>0</v>
      </c>
      <c r="H709" s="31">
        <v>0</v>
      </c>
      <c r="I709" s="31">
        <v>0</v>
      </c>
      <c r="J709" s="31">
        <v>0</v>
      </c>
      <c r="K709" s="33">
        <v>0</v>
      </c>
      <c r="L709" s="31">
        <v>0</v>
      </c>
      <c r="M709" s="31">
        <v>1134</v>
      </c>
      <c r="N709" s="31">
        <v>5408866.9900000002</v>
      </c>
      <c r="O709" s="31">
        <v>0</v>
      </c>
      <c r="P709" s="31">
        <v>0</v>
      </c>
      <c r="Q709" s="31">
        <v>0</v>
      </c>
      <c r="R709" s="31">
        <v>0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0</v>
      </c>
      <c r="Y709" s="31">
        <v>0</v>
      </c>
      <c r="Z709" s="31">
        <v>0</v>
      </c>
      <c r="AA709" s="31">
        <v>0</v>
      </c>
      <c r="AB709" s="31">
        <v>0</v>
      </c>
      <c r="AC709" s="31">
        <f t="shared" si="270"/>
        <v>81133</v>
      </c>
      <c r="AD709" s="31">
        <v>180000</v>
      </c>
      <c r="AE709" s="31">
        <v>0</v>
      </c>
      <c r="AF709" s="34">
        <v>2021</v>
      </c>
      <c r="AG709" s="34">
        <v>2021</v>
      </c>
      <c r="AH709" s="35">
        <v>2021</v>
      </c>
      <c r="AT709" s="20" t="e">
        <f t="shared" si="257"/>
        <v>#N/A</v>
      </c>
    </row>
    <row r="710" spans="1:46" ht="61.5" x14ac:dyDescent="0.85">
      <c r="A710" s="20">
        <v>1</v>
      </c>
      <c r="B710" s="66">
        <f>SUBTOTAL(103,$A$567:A710)</f>
        <v>142</v>
      </c>
      <c r="C710" s="24" t="s">
        <v>429</v>
      </c>
      <c r="D710" s="31">
        <f t="shared" si="267"/>
        <v>2895000</v>
      </c>
      <c r="E710" s="31">
        <v>0</v>
      </c>
      <c r="F710" s="31">
        <v>0</v>
      </c>
      <c r="G710" s="31">
        <v>0</v>
      </c>
      <c r="H710" s="31">
        <v>0</v>
      </c>
      <c r="I710" s="31">
        <v>0</v>
      </c>
      <c r="J710" s="31">
        <v>0</v>
      </c>
      <c r="K710" s="33">
        <v>0</v>
      </c>
      <c r="L710" s="31">
        <v>0</v>
      </c>
      <c r="M710" s="31">
        <v>579</v>
      </c>
      <c r="N710" s="31">
        <v>2704433.5</v>
      </c>
      <c r="O710" s="31">
        <v>0</v>
      </c>
      <c r="P710" s="31">
        <v>0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0</v>
      </c>
      <c r="Y710" s="31">
        <v>0</v>
      </c>
      <c r="Z710" s="31">
        <v>0</v>
      </c>
      <c r="AA710" s="31">
        <v>0</v>
      </c>
      <c r="AB710" s="31">
        <v>0</v>
      </c>
      <c r="AC710" s="31">
        <f t="shared" si="270"/>
        <v>40566.5</v>
      </c>
      <c r="AD710" s="31">
        <v>150000</v>
      </c>
      <c r="AE710" s="31">
        <v>0</v>
      </c>
      <c r="AF710" s="34">
        <v>2021</v>
      </c>
      <c r="AG710" s="34">
        <v>2021</v>
      </c>
      <c r="AH710" s="35">
        <v>2021</v>
      </c>
      <c r="AT710" s="20" t="e">
        <f t="shared" si="257"/>
        <v>#N/A</v>
      </c>
    </row>
    <row r="711" spans="1:46" ht="61.5" x14ac:dyDescent="0.85">
      <c r="A711" s="20">
        <v>1</v>
      </c>
      <c r="B711" s="66">
        <f>SUBTOTAL(103,$A$567:A711)</f>
        <v>143</v>
      </c>
      <c r="C711" s="24" t="s">
        <v>430</v>
      </c>
      <c r="D711" s="31">
        <f t="shared" si="267"/>
        <v>2850000</v>
      </c>
      <c r="E711" s="31">
        <v>0</v>
      </c>
      <c r="F711" s="31">
        <v>0</v>
      </c>
      <c r="G711" s="31">
        <v>0</v>
      </c>
      <c r="H711" s="31">
        <v>0</v>
      </c>
      <c r="I711" s="31">
        <v>0</v>
      </c>
      <c r="J711" s="31">
        <v>0</v>
      </c>
      <c r="K711" s="33">
        <v>0</v>
      </c>
      <c r="L711" s="31">
        <v>0</v>
      </c>
      <c r="M711" s="31">
        <v>570</v>
      </c>
      <c r="N711" s="31">
        <v>2660098.52</v>
      </c>
      <c r="O711" s="31">
        <v>0</v>
      </c>
      <c r="P711" s="31">
        <v>0</v>
      </c>
      <c r="Q711" s="31">
        <v>0</v>
      </c>
      <c r="R711" s="31">
        <v>0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v>0</v>
      </c>
      <c r="Y711" s="31">
        <v>0</v>
      </c>
      <c r="Z711" s="31">
        <v>0</v>
      </c>
      <c r="AA711" s="31">
        <v>0</v>
      </c>
      <c r="AB711" s="31">
        <v>0</v>
      </c>
      <c r="AC711" s="31">
        <f t="shared" si="270"/>
        <v>39901.480000000003</v>
      </c>
      <c r="AD711" s="31">
        <v>150000</v>
      </c>
      <c r="AE711" s="31">
        <v>0</v>
      </c>
      <c r="AF711" s="34">
        <v>2021</v>
      </c>
      <c r="AG711" s="34">
        <v>2021</v>
      </c>
      <c r="AH711" s="35">
        <v>2021</v>
      </c>
      <c r="AT711" s="20" t="e">
        <f t="shared" si="257"/>
        <v>#N/A</v>
      </c>
    </row>
    <row r="712" spans="1:46" ht="61.5" x14ac:dyDescent="0.85">
      <c r="A712" s="20">
        <v>1</v>
      </c>
      <c r="B712" s="66">
        <f>SUBTOTAL(103,$A$567:A712)</f>
        <v>144</v>
      </c>
      <c r="C712" s="24" t="s">
        <v>431</v>
      </c>
      <c r="D712" s="31">
        <f t="shared" si="267"/>
        <v>1600000</v>
      </c>
      <c r="E712" s="31">
        <v>0</v>
      </c>
      <c r="F712" s="31">
        <v>0</v>
      </c>
      <c r="G712" s="31">
        <v>0</v>
      </c>
      <c r="H712" s="31">
        <v>0</v>
      </c>
      <c r="I712" s="31">
        <v>0</v>
      </c>
      <c r="J712" s="31">
        <v>0</v>
      </c>
      <c r="K712" s="33">
        <v>0</v>
      </c>
      <c r="L712" s="31">
        <v>0</v>
      </c>
      <c r="M712" s="31">
        <v>322</v>
      </c>
      <c r="N712" s="31">
        <v>1458128.08</v>
      </c>
      <c r="O712" s="31">
        <v>0</v>
      </c>
      <c r="P712" s="31">
        <v>0</v>
      </c>
      <c r="Q712" s="31">
        <v>0</v>
      </c>
      <c r="R712" s="31">
        <v>0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v>0</v>
      </c>
      <c r="Y712" s="31">
        <v>0</v>
      </c>
      <c r="Z712" s="31">
        <v>0</v>
      </c>
      <c r="AA712" s="31">
        <v>0</v>
      </c>
      <c r="AB712" s="31">
        <v>0</v>
      </c>
      <c r="AC712" s="31">
        <f t="shared" si="270"/>
        <v>21871.919999999998</v>
      </c>
      <c r="AD712" s="31">
        <v>120000</v>
      </c>
      <c r="AE712" s="31">
        <v>0</v>
      </c>
      <c r="AF712" s="34">
        <v>2021</v>
      </c>
      <c r="AG712" s="34">
        <v>2021</v>
      </c>
      <c r="AH712" s="35">
        <v>2021</v>
      </c>
      <c r="AT712" s="20" t="e">
        <f t="shared" si="257"/>
        <v>#N/A</v>
      </c>
    </row>
    <row r="713" spans="1:46" ht="61.5" x14ac:dyDescent="0.85">
      <c r="A713" s="20">
        <v>1</v>
      </c>
      <c r="B713" s="66">
        <f>SUBTOTAL(103,$A$567:A713)</f>
        <v>145</v>
      </c>
      <c r="C713" s="24" t="s">
        <v>432</v>
      </c>
      <c r="D713" s="31">
        <f t="shared" si="267"/>
        <v>8150000</v>
      </c>
      <c r="E713" s="31">
        <v>0</v>
      </c>
      <c r="F713" s="31">
        <v>0</v>
      </c>
      <c r="G713" s="31">
        <v>0</v>
      </c>
      <c r="H713" s="31">
        <v>0</v>
      </c>
      <c r="I713" s="31">
        <v>0</v>
      </c>
      <c r="J713" s="31">
        <v>0</v>
      </c>
      <c r="K713" s="33">
        <v>0</v>
      </c>
      <c r="L713" s="31">
        <v>0</v>
      </c>
      <c r="M713" s="31">
        <v>1630</v>
      </c>
      <c r="N713" s="31">
        <v>7852216.75</v>
      </c>
      <c r="O713" s="31">
        <v>0</v>
      </c>
      <c r="P713" s="31">
        <v>0</v>
      </c>
      <c r="Q713" s="31">
        <v>0</v>
      </c>
      <c r="R713" s="31">
        <v>0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v>0</v>
      </c>
      <c r="Y713" s="31">
        <v>0</v>
      </c>
      <c r="Z713" s="31">
        <v>0</v>
      </c>
      <c r="AA713" s="31">
        <v>0</v>
      </c>
      <c r="AB713" s="31">
        <v>0</v>
      </c>
      <c r="AC713" s="31">
        <f t="shared" si="270"/>
        <v>117783.25</v>
      </c>
      <c r="AD713" s="31">
        <v>180000</v>
      </c>
      <c r="AE713" s="31">
        <v>0</v>
      </c>
      <c r="AF713" s="34">
        <v>2021</v>
      </c>
      <c r="AG713" s="34">
        <v>2021</v>
      </c>
      <c r="AH713" s="35">
        <v>2021</v>
      </c>
      <c r="AT713" s="20" t="e">
        <f t="shared" si="257"/>
        <v>#N/A</v>
      </c>
    </row>
    <row r="714" spans="1:46" ht="61.5" x14ac:dyDescent="0.85">
      <c r="A714" s="20">
        <v>1</v>
      </c>
      <c r="B714" s="66">
        <f>SUBTOTAL(103,$A$567:A714)</f>
        <v>146</v>
      </c>
      <c r="C714" s="24" t="s">
        <v>433</v>
      </c>
      <c r="D714" s="31">
        <f t="shared" si="267"/>
        <v>2500000</v>
      </c>
      <c r="E714" s="31">
        <v>0</v>
      </c>
      <c r="F714" s="31">
        <v>0</v>
      </c>
      <c r="G714" s="31">
        <v>0</v>
      </c>
      <c r="H714" s="31">
        <v>0</v>
      </c>
      <c r="I714" s="31">
        <v>0</v>
      </c>
      <c r="J714" s="31">
        <v>0</v>
      </c>
      <c r="K714" s="33">
        <v>0</v>
      </c>
      <c r="L714" s="31">
        <v>0</v>
      </c>
      <c r="M714" s="31">
        <v>500</v>
      </c>
      <c r="N714" s="31">
        <v>2344827.59</v>
      </c>
      <c r="O714" s="31">
        <v>0</v>
      </c>
      <c r="P714" s="31">
        <v>0</v>
      </c>
      <c r="Q714" s="31">
        <v>0</v>
      </c>
      <c r="R714" s="31">
        <v>0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v>0</v>
      </c>
      <c r="Y714" s="31">
        <v>0</v>
      </c>
      <c r="Z714" s="31">
        <v>0</v>
      </c>
      <c r="AA714" s="31">
        <v>0</v>
      </c>
      <c r="AB714" s="31">
        <v>0</v>
      </c>
      <c r="AC714" s="31">
        <f t="shared" si="270"/>
        <v>35172.410000000003</v>
      </c>
      <c r="AD714" s="31">
        <v>120000</v>
      </c>
      <c r="AE714" s="31">
        <v>0</v>
      </c>
      <c r="AF714" s="34">
        <v>2021</v>
      </c>
      <c r="AG714" s="34">
        <v>2021</v>
      </c>
      <c r="AH714" s="35">
        <v>2021</v>
      </c>
      <c r="AT714" s="20" t="e">
        <f t="shared" si="257"/>
        <v>#N/A</v>
      </c>
    </row>
    <row r="715" spans="1:46" ht="61.5" x14ac:dyDescent="0.85">
      <c r="A715" s="20">
        <v>1</v>
      </c>
      <c r="B715" s="66">
        <f>SUBTOTAL(103,$A$567:A715)</f>
        <v>147</v>
      </c>
      <c r="C715" s="24" t="s">
        <v>434</v>
      </c>
      <c r="D715" s="31">
        <f t="shared" si="267"/>
        <v>2131474</v>
      </c>
      <c r="E715" s="31">
        <v>0</v>
      </c>
      <c r="F715" s="31">
        <v>0</v>
      </c>
      <c r="G715" s="31">
        <v>0</v>
      </c>
      <c r="H715" s="31">
        <v>0</v>
      </c>
      <c r="I715" s="31">
        <v>0</v>
      </c>
      <c r="J715" s="31">
        <v>0</v>
      </c>
      <c r="K715" s="33">
        <v>0</v>
      </c>
      <c r="L715" s="31">
        <v>0</v>
      </c>
      <c r="M715" s="31">
        <v>420</v>
      </c>
      <c r="N715" s="31">
        <v>1981747.78</v>
      </c>
      <c r="O715" s="31">
        <v>0</v>
      </c>
      <c r="P715" s="31">
        <v>0</v>
      </c>
      <c r="Q715" s="31">
        <v>0</v>
      </c>
      <c r="R715" s="31">
        <v>0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v>0</v>
      </c>
      <c r="Y715" s="31">
        <v>0</v>
      </c>
      <c r="Z715" s="31">
        <v>0</v>
      </c>
      <c r="AA715" s="31">
        <v>0</v>
      </c>
      <c r="AB715" s="31">
        <v>0</v>
      </c>
      <c r="AC715" s="31">
        <f t="shared" si="270"/>
        <v>29726.22</v>
      </c>
      <c r="AD715" s="31">
        <v>120000</v>
      </c>
      <c r="AE715" s="31">
        <v>0</v>
      </c>
      <c r="AF715" s="34">
        <v>2021</v>
      </c>
      <c r="AG715" s="34">
        <v>2021</v>
      </c>
      <c r="AH715" s="35">
        <v>2021</v>
      </c>
      <c r="AT715" s="20" t="e">
        <f t="shared" si="257"/>
        <v>#N/A</v>
      </c>
    </row>
    <row r="716" spans="1:46" ht="61.5" x14ac:dyDescent="0.85">
      <c r="A716" s="20">
        <v>1</v>
      </c>
      <c r="B716" s="66">
        <f>SUBTOTAL(103,$A$567:A716)</f>
        <v>148</v>
      </c>
      <c r="C716" s="24" t="s">
        <v>206</v>
      </c>
      <c r="D716" s="31">
        <f t="shared" si="267"/>
        <v>3697950</v>
      </c>
      <c r="E716" s="31">
        <v>0</v>
      </c>
      <c r="F716" s="31">
        <v>0</v>
      </c>
      <c r="G716" s="31">
        <v>0</v>
      </c>
      <c r="H716" s="31">
        <v>0</v>
      </c>
      <c r="I716" s="31">
        <v>0</v>
      </c>
      <c r="J716" s="31">
        <v>0</v>
      </c>
      <c r="K716" s="33">
        <v>0</v>
      </c>
      <c r="L716" s="31">
        <v>0</v>
      </c>
      <c r="M716" s="31">
        <v>700</v>
      </c>
      <c r="N716" s="31">
        <v>3495517.24</v>
      </c>
      <c r="O716" s="31">
        <v>0</v>
      </c>
      <c r="P716" s="31">
        <v>0</v>
      </c>
      <c r="Q716" s="31">
        <v>0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0</v>
      </c>
      <c r="Y716" s="31">
        <v>0</v>
      </c>
      <c r="Z716" s="31">
        <v>0</v>
      </c>
      <c r="AA716" s="31">
        <v>0</v>
      </c>
      <c r="AB716" s="31">
        <v>0</v>
      </c>
      <c r="AC716" s="31">
        <f t="shared" si="270"/>
        <v>52432.76</v>
      </c>
      <c r="AD716" s="31">
        <v>150000</v>
      </c>
      <c r="AE716" s="31">
        <v>0</v>
      </c>
      <c r="AF716" s="34">
        <v>2021</v>
      </c>
      <c r="AG716" s="34">
        <v>2021</v>
      </c>
      <c r="AH716" s="35">
        <v>2021</v>
      </c>
      <c r="AT716" s="20" t="e">
        <f t="shared" si="257"/>
        <v>#N/A</v>
      </c>
    </row>
    <row r="717" spans="1:46" ht="61.5" x14ac:dyDescent="0.85">
      <c r="A717" s="20">
        <v>1</v>
      </c>
      <c r="B717" s="66">
        <f>SUBTOTAL(103,$A$567:A717)</f>
        <v>149</v>
      </c>
      <c r="C717" s="24" t="s">
        <v>208</v>
      </c>
      <c r="D717" s="31">
        <f t="shared" si="267"/>
        <v>3680000</v>
      </c>
      <c r="E717" s="31">
        <v>0</v>
      </c>
      <c r="F717" s="31">
        <v>0</v>
      </c>
      <c r="G717" s="31">
        <v>0</v>
      </c>
      <c r="H717" s="31">
        <v>0</v>
      </c>
      <c r="I717" s="31">
        <v>0</v>
      </c>
      <c r="J717" s="31">
        <v>0</v>
      </c>
      <c r="K717" s="33">
        <v>0</v>
      </c>
      <c r="L717" s="31">
        <v>0</v>
      </c>
      <c r="M717" s="31">
        <v>695</v>
      </c>
      <c r="N717" s="31">
        <v>3477832.51</v>
      </c>
      <c r="O717" s="31">
        <v>0</v>
      </c>
      <c r="P717" s="31">
        <v>0</v>
      </c>
      <c r="Q717" s="31">
        <v>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v>0</v>
      </c>
      <c r="Y717" s="31">
        <v>0</v>
      </c>
      <c r="Z717" s="31">
        <v>0</v>
      </c>
      <c r="AA717" s="31">
        <v>0</v>
      </c>
      <c r="AB717" s="31">
        <v>0</v>
      </c>
      <c r="AC717" s="31">
        <f t="shared" si="270"/>
        <v>52167.49</v>
      </c>
      <c r="AD717" s="31">
        <v>150000</v>
      </c>
      <c r="AE717" s="31">
        <v>0</v>
      </c>
      <c r="AF717" s="34">
        <v>2021</v>
      </c>
      <c r="AG717" s="34">
        <v>2021</v>
      </c>
      <c r="AH717" s="35">
        <v>2021</v>
      </c>
      <c r="AT717" s="20" t="e">
        <f t="shared" si="257"/>
        <v>#N/A</v>
      </c>
    </row>
    <row r="718" spans="1:46" ht="61.5" x14ac:dyDescent="0.85">
      <c r="A718" s="20">
        <v>1</v>
      </c>
      <c r="B718" s="66">
        <f>SUBTOTAL(103,$A$567:A718)</f>
        <v>150</v>
      </c>
      <c r="C718" s="24" t="s">
        <v>207</v>
      </c>
      <c r="D718" s="31">
        <f t="shared" si="267"/>
        <v>3519757</v>
      </c>
      <c r="E718" s="31">
        <v>0</v>
      </c>
      <c r="F718" s="31">
        <v>0</v>
      </c>
      <c r="G718" s="31">
        <v>0</v>
      </c>
      <c r="H718" s="31">
        <v>0</v>
      </c>
      <c r="I718" s="31">
        <v>0</v>
      </c>
      <c r="J718" s="31">
        <v>0</v>
      </c>
      <c r="K718" s="33">
        <v>0</v>
      </c>
      <c r="L718" s="31">
        <v>0</v>
      </c>
      <c r="M718" s="31">
        <v>666</v>
      </c>
      <c r="N718" s="31">
        <v>3319957.64</v>
      </c>
      <c r="O718" s="31">
        <v>0</v>
      </c>
      <c r="P718" s="31">
        <v>0</v>
      </c>
      <c r="Q718" s="31">
        <v>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v>0</v>
      </c>
      <c r="Y718" s="31">
        <v>0</v>
      </c>
      <c r="Z718" s="31">
        <v>0</v>
      </c>
      <c r="AA718" s="31">
        <v>0</v>
      </c>
      <c r="AB718" s="31">
        <v>0</v>
      </c>
      <c r="AC718" s="31">
        <f t="shared" si="270"/>
        <v>49799.360000000001</v>
      </c>
      <c r="AD718" s="31">
        <v>150000</v>
      </c>
      <c r="AE718" s="31">
        <v>0</v>
      </c>
      <c r="AF718" s="34">
        <v>2021</v>
      </c>
      <c r="AG718" s="34">
        <v>2021</v>
      </c>
      <c r="AH718" s="35">
        <v>2021</v>
      </c>
      <c r="AT718" s="20" t="e">
        <f t="shared" si="257"/>
        <v>#N/A</v>
      </c>
    </row>
    <row r="719" spans="1:46" ht="61.5" x14ac:dyDescent="0.85">
      <c r="A719" s="20">
        <v>1</v>
      </c>
      <c r="B719" s="66">
        <f>SUBTOTAL(103,$A$567:A719)</f>
        <v>151</v>
      </c>
      <c r="C719" s="24" t="s">
        <v>435</v>
      </c>
      <c r="D719" s="31">
        <f t="shared" si="267"/>
        <v>4125000</v>
      </c>
      <c r="E719" s="31">
        <v>0</v>
      </c>
      <c r="F719" s="31">
        <v>0</v>
      </c>
      <c r="G719" s="31">
        <v>0</v>
      </c>
      <c r="H719" s="31">
        <v>0</v>
      </c>
      <c r="I719" s="31">
        <v>0</v>
      </c>
      <c r="J719" s="31">
        <v>0</v>
      </c>
      <c r="K719" s="33">
        <v>0</v>
      </c>
      <c r="L719" s="31">
        <v>0</v>
      </c>
      <c r="M719" s="31">
        <v>825</v>
      </c>
      <c r="N719" s="31">
        <v>3916256.16</v>
      </c>
      <c r="O719" s="31">
        <v>0</v>
      </c>
      <c r="P719" s="31">
        <v>0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v>0</v>
      </c>
      <c r="Y719" s="31">
        <v>0</v>
      </c>
      <c r="Z719" s="31">
        <v>0</v>
      </c>
      <c r="AA719" s="31">
        <v>0</v>
      </c>
      <c r="AB719" s="31">
        <v>0</v>
      </c>
      <c r="AC719" s="31">
        <f t="shared" si="270"/>
        <v>58743.839999999997</v>
      </c>
      <c r="AD719" s="31">
        <v>150000</v>
      </c>
      <c r="AE719" s="31">
        <v>0</v>
      </c>
      <c r="AF719" s="34">
        <v>2021</v>
      </c>
      <c r="AG719" s="34">
        <v>2021</v>
      </c>
      <c r="AH719" s="35">
        <v>2021</v>
      </c>
      <c r="AT719" s="20" t="e">
        <f t="shared" si="257"/>
        <v>#N/A</v>
      </c>
    </row>
    <row r="720" spans="1:46" ht="61.5" x14ac:dyDescent="0.85">
      <c r="A720" s="20">
        <v>1</v>
      </c>
      <c r="B720" s="66">
        <f>SUBTOTAL(103,$A$567:A720)</f>
        <v>152</v>
      </c>
      <c r="C720" s="24" t="s">
        <v>436</v>
      </c>
      <c r="D720" s="31">
        <f t="shared" si="267"/>
        <v>2000000</v>
      </c>
      <c r="E720" s="31">
        <v>0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3">
        <v>0</v>
      </c>
      <c r="L720" s="31">
        <v>0</v>
      </c>
      <c r="M720" s="31">
        <v>365</v>
      </c>
      <c r="N720" s="31">
        <f>1852216.75-118226.6</f>
        <v>1733990.15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  <c r="V720" s="31">
        <v>0</v>
      </c>
      <c r="W720" s="31">
        <v>0</v>
      </c>
      <c r="X720" s="31">
        <v>0</v>
      </c>
      <c r="Y720" s="31">
        <v>0</v>
      </c>
      <c r="Z720" s="31">
        <v>0</v>
      </c>
      <c r="AA720" s="31">
        <v>0</v>
      </c>
      <c r="AB720" s="31">
        <v>0</v>
      </c>
      <c r="AC720" s="31">
        <f t="shared" si="270"/>
        <v>26009.85</v>
      </c>
      <c r="AD720" s="31">
        <v>120000</v>
      </c>
      <c r="AE720" s="31">
        <v>120000</v>
      </c>
      <c r="AF720" s="34">
        <v>2021</v>
      </c>
      <c r="AG720" s="34">
        <v>2021</v>
      </c>
      <c r="AH720" s="35">
        <v>2021</v>
      </c>
      <c r="AT720" s="20" t="e">
        <f t="shared" si="257"/>
        <v>#N/A</v>
      </c>
    </row>
    <row r="721" spans="1:46" ht="61.5" x14ac:dyDescent="0.85">
      <c r="A721" s="20">
        <v>1</v>
      </c>
      <c r="B721" s="66">
        <f>SUBTOTAL(103,$A$567:A721)</f>
        <v>153</v>
      </c>
      <c r="C721" s="24" t="s">
        <v>437</v>
      </c>
      <c r="D721" s="31">
        <f t="shared" si="267"/>
        <v>4900000</v>
      </c>
      <c r="E721" s="31">
        <v>0</v>
      </c>
      <c r="F721" s="31">
        <v>0</v>
      </c>
      <c r="G721" s="31">
        <v>0</v>
      </c>
      <c r="H721" s="31">
        <v>0</v>
      </c>
      <c r="I721" s="31">
        <v>0</v>
      </c>
      <c r="J721" s="31">
        <v>0</v>
      </c>
      <c r="K721" s="33">
        <v>0</v>
      </c>
      <c r="L721" s="31">
        <v>0</v>
      </c>
      <c r="M721" s="31">
        <v>0</v>
      </c>
      <c r="N721" s="31">
        <v>0</v>
      </c>
      <c r="O721" s="31">
        <v>0</v>
      </c>
      <c r="P721" s="31">
        <v>0</v>
      </c>
      <c r="Q721" s="31">
        <v>947</v>
      </c>
      <c r="R721" s="31">
        <v>4699507.3899999997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v>0</v>
      </c>
      <c r="Y721" s="31">
        <v>0</v>
      </c>
      <c r="Z721" s="31">
        <v>0</v>
      </c>
      <c r="AA721" s="31">
        <v>0</v>
      </c>
      <c r="AB721" s="31">
        <v>0</v>
      </c>
      <c r="AC721" s="31">
        <f t="shared" ref="AC721" si="271">ROUND(R721*1.5%,2)</f>
        <v>70492.61</v>
      </c>
      <c r="AD721" s="31">
        <v>130000</v>
      </c>
      <c r="AE721" s="31">
        <v>0</v>
      </c>
      <c r="AF721" s="34">
        <v>2021</v>
      </c>
      <c r="AG721" s="34">
        <v>2021</v>
      </c>
      <c r="AH721" s="35">
        <v>2021</v>
      </c>
      <c r="AT721" s="20" t="e">
        <f t="shared" si="257"/>
        <v>#N/A</v>
      </c>
    </row>
    <row r="722" spans="1:46" ht="61.5" x14ac:dyDescent="0.85">
      <c r="A722" s="20">
        <v>1</v>
      </c>
      <c r="B722" s="66">
        <f>SUBTOTAL(103,$A$567:A722)</f>
        <v>154</v>
      </c>
      <c r="C722" s="24" t="s">
        <v>438</v>
      </c>
      <c r="D722" s="31">
        <f t="shared" si="267"/>
        <v>3000000</v>
      </c>
      <c r="E722" s="31">
        <v>0</v>
      </c>
      <c r="F722" s="31">
        <v>0</v>
      </c>
      <c r="G722" s="31">
        <v>0</v>
      </c>
      <c r="H722" s="31">
        <v>0</v>
      </c>
      <c r="I722" s="31">
        <v>0</v>
      </c>
      <c r="J722" s="31">
        <v>0</v>
      </c>
      <c r="K722" s="33">
        <v>0</v>
      </c>
      <c r="L722" s="31">
        <v>0</v>
      </c>
      <c r="M722" s="31">
        <v>600</v>
      </c>
      <c r="N722" s="31">
        <v>2807881.77</v>
      </c>
      <c r="O722" s="31">
        <v>0</v>
      </c>
      <c r="P722" s="31">
        <v>0</v>
      </c>
      <c r="Q722" s="31">
        <v>0</v>
      </c>
      <c r="R722" s="31">
        <v>0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v>0</v>
      </c>
      <c r="Y722" s="31">
        <v>0</v>
      </c>
      <c r="Z722" s="31">
        <v>0</v>
      </c>
      <c r="AA722" s="31">
        <v>0</v>
      </c>
      <c r="AB722" s="31">
        <v>0</v>
      </c>
      <c r="AC722" s="31">
        <f t="shared" ref="AC722:AC750" si="272">ROUND(N722*1.5%,2)</f>
        <v>42118.23</v>
      </c>
      <c r="AD722" s="31">
        <v>150000</v>
      </c>
      <c r="AE722" s="31">
        <v>0</v>
      </c>
      <c r="AF722" s="34">
        <v>2021</v>
      </c>
      <c r="AG722" s="34">
        <v>2021</v>
      </c>
      <c r="AH722" s="35">
        <v>2021</v>
      </c>
      <c r="AT722" s="20" t="e">
        <f t="shared" si="257"/>
        <v>#N/A</v>
      </c>
    </row>
    <row r="723" spans="1:46" ht="61.5" x14ac:dyDescent="0.85">
      <c r="A723" s="20">
        <v>1</v>
      </c>
      <c r="B723" s="66">
        <f>SUBTOTAL(103,$A$567:A723)</f>
        <v>155</v>
      </c>
      <c r="C723" s="24" t="s">
        <v>439</v>
      </c>
      <c r="D723" s="31">
        <f t="shared" si="267"/>
        <v>2310000</v>
      </c>
      <c r="E723" s="31">
        <v>0</v>
      </c>
      <c r="F723" s="31">
        <v>0</v>
      </c>
      <c r="G723" s="31">
        <v>0</v>
      </c>
      <c r="H723" s="31">
        <v>0</v>
      </c>
      <c r="I723" s="31">
        <v>0</v>
      </c>
      <c r="J723" s="31">
        <v>0</v>
      </c>
      <c r="K723" s="33">
        <v>0</v>
      </c>
      <c r="L723" s="31">
        <v>0</v>
      </c>
      <c r="M723" s="31">
        <v>462</v>
      </c>
      <c r="N723" s="31">
        <v>2157635.4700000002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1">
        <v>0</v>
      </c>
      <c r="AB723" s="31">
        <v>0</v>
      </c>
      <c r="AC723" s="31">
        <f t="shared" si="272"/>
        <v>32364.53</v>
      </c>
      <c r="AD723" s="31">
        <v>120000</v>
      </c>
      <c r="AE723" s="31">
        <v>0</v>
      </c>
      <c r="AF723" s="34">
        <v>2021</v>
      </c>
      <c r="AG723" s="34">
        <v>2021</v>
      </c>
      <c r="AH723" s="35">
        <v>2021</v>
      </c>
      <c r="AT723" s="20" t="e">
        <f t="shared" si="257"/>
        <v>#N/A</v>
      </c>
    </row>
    <row r="724" spans="1:46" ht="61.5" x14ac:dyDescent="0.85">
      <c r="A724" s="20">
        <v>1</v>
      </c>
      <c r="B724" s="66">
        <f>SUBTOTAL(103,$A$567:A724)</f>
        <v>156</v>
      </c>
      <c r="C724" s="24" t="s">
        <v>440</v>
      </c>
      <c r="D724" s="31">
        <f t="shared" si="267"/>
        <v>150000</v>
      </c>
      <c r="E724" s="31">
        <v>0</v>
      </c>
      <c r="F724" s="31">
        <v>0</v>
      </c>
      <c r="G724" s="31">
        <v>0</v>
      </c>
      <c r="H724" s="31">
        <v>0</v>
      </c>
      <c r="I724" s="31">
        <v>0</v>
      </c>
      <c r="J724" s="31">
        <v>0</v>
      </c>
      <c r="K724" s="33">
        <v>0</v>
      </c>
      <c r="L724" s="31">
        <v>0</v>
      </c>
      <c r="M724" s="31">
        <v>0</v>
      </c>
      <c r="N724" s="31">
        <v>0</v>
      </c>
      <c r="O724" s="31">
        <v>0</v>
      </c>
      <c r="P724" s="31">
        <v>0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v>0</v>
      </c>
      <c r="Y724" s="31">
        <v>0</v>
      </c>
      <c r="Z724" s="31">
        <v>0</v>
      </c>
      <c r="AA724" s="31">
        <v>0</v>
      </c>
      <c r="AB724" s="31">
        <v>0</v>
      </c>
      <c r="AC724" s="31">
        <f t="shared" si="272"/>
        <v>0</v>
      </c>
      <c r="AD724" s="31">
        <v>150000</v>
      </c>
      <c r="AE724" s="31">
        <v>0</v>
      </c>
      <c r="AF724" s="34">
        <v>2021</v>
      </c>
      <c r="AG724" s="34" t="s">
        <v>274</v>
      </c>
      <c r="AH724" s="35" t="s">
        <v>274</v>
      </c>
    </row>
    <row r="725" spans="1:46" ht="61.5" x14ac:dyDescent="0.85">
      <c r="A725" s="20">
        <v>1</v>
      </c>
      <c r="B725" s="66">
        <f>SUBTOTAL(103,$A$567:A725)</f>
        <v>157</v>
      </c>
      <c r="C725" s="24" t="s">
        <v>441</v>
      </c>
      <c r="D725" s="31">
        <f t="shared" si="267"/>
        <v>150000</v>
      </c>
      <c r="E725" s="31">
        <v>0</v>
      </c>
      <c r="F725" s="31">
        <v>0</v>
      </c>
      <c r="G725" s="31">
        <v>0</v>
      </c>
      <c r="H725" s="31">
        <v>0</v>
      </c>
      <c r="I725" s="31">
        <v>0</v>
      </c>
      <c r="J725" s="31">
        <v>0</v>
      </c>
      <c r="K725" s="33">
        <v>0</v>
      </c>
      <c r="L725" s="31">
        <v>0</v>
      </c>
      <c r="M725" s="31">
        <v>0</v>
      </c>
      <c r="N725" s="31">
        <v>0</v>
      </c>
      <c r="O725" s="31">
        <v>0</v>
      </c>
      <c r="P725" s="31">
        <v>0</v>
      </c>
      <c r="Q725" s="31">
        <v>0</v>
      </c>
      <c r="R725" s="31">
        <v>0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v>0</v>
      </c>
      <c r="Y725" s="31">
        <v>0</v>
      </c>
      <c r="Z725" s="31">
        <v>0</v>
      </c>
      <c r="AA725" s="31">
        <v>0</v>
      </c>
      <c r="AB725" s="31">
        <v>0</v>
      </c>
      <c r="AC725" s="31">
        <f t="shared" si="272"/>
        <v>0</v>
      </c>
      <c r="AD725" s="31">
        <v>150000</v>
      </c>
      <c r="AE725" s="31">
        <v>0</v>
      </c>
      <c r="AF725" s="34">
        <v>2021</v>
      </c>
      <c r="AG725" s="34" t="s">
        <v>274</v>
      </c>
      <c r="AH725" s="35" t="s">
        <v>274</v>
      </c>
    </row>
    <row r="726" spans="1:46" ht="61.5" x14ac:dyDescent="0.85">
      <c r="A726" s="20">
        <v>1</v>
      </c>
      <c r="B726" s="66">
        <f>SUBTOTAL(103,$A$567:A726)</f>
        <v>158</v>
      </c>
      <c r="C726" s="24" t="s">
        <v>442</v>
      </c>
      <c r="D726" s="31">
        <f t="shared" si="267"/>
        <v>180000</v>
      </c>
      <c r="E726" s="31">
        <v>0</v>
      </c>
      <c r="F726" s="31">
        <v>0</v>
      </c>
      <c r="G726" s="31">
        <v>0</v>
      </c>
      <c r="H726" s="31">
        <v>0</v>
      </c>
      <c r="I726" s="31">
        <v>0</v>
      </c>
      <c r="J726" s="31">
        <v>0</v>
      </c>
      <c r="K726" s="33">
        <v>0</v>
      </c>
      <c r="L726" s="31">
        <v>0</v>
      </c>
      <c r="M726" s="31">
        <v>0</v>
      </c>
      <c r="N726" s="31">
        <v>0</v>
      </c>
      <c r="O726" s="31">
        <v>0</v>
      </c>
      <c r="P726" s="31">
        <v>0</v>
      </c>
      <c r="Q726" s="31">
        <v>0</v>
      </c>
      <c r="R726" s="31">
        <v>0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v>0</v>
      </c>
      <c r="Y726" s="31">
        <v>0</v>
      </c>
      <c r="Z726" s="31">
        <v>0</v>
      </c>
      <c r="AA726" s="31">
        <v>0</v>
      </c>
      <c r="AB726" s="31">
        <v>0</v>
      </c>
      <c r="AC726" s="31">
        <f t="shared" si="272"/>
        <v>0</v>
      </c>
      <c r="AD726" s="31">
        <v>180000</v>
      </c>
      <c r="AE726" s="31">
        <v>0</v>
      </c>
      <c r="AF726" s="34">
        <v>2021</v>
      </c>
      <c r="AG726" s="34" t="s">
        <v>274</v>
      </c>
      <c r="AH726" s="35" t="s">
        <v>274</v>
      </c>
    </row>
    <row r="727" spans="1:46" ht="61.5" x14ac:dyDescent="0.85">
      <c r="A727" s="20">
        <v>1</v>
      </c>
      <c r="B727" s="66">
        <f>SUBTOTAL(103,$A$567:A727)</f>
        <v>159</v>
      </c>
      <c r="C727" s="24" t="s">
        <v>443</v>
      </c>
      <c r="D727" s="31">
        <f t="shared" si="267"/>
        <v>200000</v>
      </c>
      <c r="E727" s="31">
        <v>0</v>
      </c>
      <c r="F727" s="31">
        <v>0</v>
      </c>
      <c r="G727" s="31">
        <v>0</v>
      </c>
      <c r="H727" s="31">
        <v>0</v>
      </c>
      <c r="I727" s="31">
        <v>0</v>
      </c>
      <c r="J727" s="31">
        <v>0</v>
      </c>
      <c r="K727" s="33">
        <v>0</v>
      </c>
      <c r="L727" s="31">
        <v>0</v>
      </c>
      <c r="M727" s="31">
        <v>0</v>
      </c>
      <c r="N727" s="31">
        <v>0</v>
      </c>
      <c r="O727" s="31">
        <v>0</v>
      </c>
      <c r="P727" s="31">
        <v>0</v>
      </c>
      <c r="Q727" s="31">
        <v>0</v>
      </c>
      <c r="R727" s="31">
        <v>0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v>0</v>
      </c>
      <c r="Y727" s="31">
        <v>0</v>
      </c>
      <c r="Z727" s="31">
        <v>0</v>
      </c>
      <c r="AA727" s="31">
        <v>0</v>
      </c>
      <c r="AB727" s="31">
        <v>0</v>
      </c>
      <c r="AC727" s="31">
        <f t="shared" si="272"/>
        <v>0</v>
      </c>
      <c r="AD727" s="31">
        <v>200000</v>
      </c>
      <c r="AE727" s="31">
        <v>0</v>
      </c>
      <c r="AF727" s="34">
        <v>2021</v>
      </c>
      <c r="AG727" s="34" t="s">
        <v>274</v>
      </c>
      <c r="AH727" s="35" t="s">
        <v>274</v>
      </c>
    </row>
    <row r="728" spans="1:46" ht="61.5" x14ac:dyDescent="0.85">
      <c r="A728" s="20">
        <v>1</v>
      </c>
      <c r="B728" s="66">
        <f>SUBTOTAL(103,$A$567:A728)</f>
        <v>160</v>
      </c>
      <c r="C728" s="24" t="s">
        <v>444</v>
      </c>
      <c r="D728" s="31">
        <f t="shared" si="267"/>
        <v>150000</v>
      </c>
      <c r="E728" s="31">
        <v>0</v>
      </c>
      <c r="F728" s="31">
        <v>0</v>
      </c>
      <c r="G728" s="31">
        <v>0</v>
      </c>
      <c r="H728" s="31">
        <v>0</v>
      </c>
      <c r="I728" s="31">
        <v>0</v>
      </c>
      <c r="J728" s="31">
        <v>0</v>
      </c>
      <c r="K728" s="33">
        <v>0</v>
      </c>
      <c r="L728" s="31">
        <v>0</v>
      </c>
      <c r="M728" s="31">
        <v>0</v>
      </c>
      <c r="N728" s="31">
        <v>0</v>
      </c>
      <c r="O728" s="31">
        <v>0</v>
      </c>
      <c r="P728" s="31">
        <v>0</v>
      </c>
      <c r="Q728" s="31">
        <v>0</v>
      </c>
      <c r="R728" s="31">
        <v>0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v>0</v>
      </c>
      <c r="Y728" s="31">
        <v>0</v>
      </c>
      <c r="Z728" s="31">
        <v>0</v>
      </c>
      <c r="AA728" s="31">
        <v>0</v>
      </c>
      <c r="AB728" s="31">
        <v>0</v>
      </c>
      <c r="AC728" s="31">
        <f t="shared" si="272"/>
        <v>0</v>
      </c>
      <c r="AD728" s="31">
        <v>150000</v>
      </c>
      <c r="AE728" s="31">
        <v>0</v>
      </c>
      <c r="AF728" s="34">
        <v>2021</v>
      </c>
      <c r="AG728" s="34" t="s">
        <v>274</v>
      </c>
      <c r="AH728" s="35" t="s">
        <v>274</v>
      </c>
    </row>
    <row r="729" spans="1:46" ht="61.5" x14ac:dyDescent="0.85">
      <c r="A729" s="20">
        <v>1</v>
      </c>
      <c r="B729" s="66">
        <f>SUBTOTAL(103,$A$567:A729)</f>
        <v>161</v>
      </c>
      <c r="C729" s="24" t="s">
        <v>445</v>
      </c>
      <c r="D729" s="31">
        <f t="shared" si="267"/>
        <v>180000</v>
      </c>
      <c r="E729" s="31">
        <v>0</v>
      </c>
      <c r="F729" s="31">
        <v>0</v>
      </c>
      <c r="G729" s="31">
        <v>0</v>
      </c>
      <c r="H729" s="31">
        <v>0</v>
      </c>
      <c r="I729" s="31">
        <v>0</v>
      </c>
      <c r="J729" s="31">
        <v>0</v>
      </c>
      <c r="K729" s="33">
        <v>0</v>
      </c>
      <c r="L729" s="31">
        <v>0</v>
      </c>
      <c r="M729" s="31">
        <v>0</v>
      </c>
      <c r="N729" s="31">
        <v>0</v>
      </c>
      <c r="O729" s="31">
        <v>0</v>
      </c>
      <c r="P729" s="31">
        <v>0</v>
      </c>
      <c r="Q729" s="31">
        <v>0</v>
      </c>
      <c r="R729" s="31">
        <v>0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v>0</v>
      </c>
      <c r="Y729" s="31">
        <v>0</v>
      </c>
      <c r="Z729" s="31">
        <v>0</v>
      </c>
      <c r="AA729" s="31">
        <v>0</v>
      </c>
      <c r="AB729" s="31">
        <v>0</v>
      </c>
      <c r="AC729" s="31">
        <f t="shared" si="272"/>
        <v>0</v>
      </c>
      <c r="AD729" s="31">
        <v>180000</v>
      </c>
      <c r="AE729" s="31">
        <v>0</v>
      </c>
      <c r="AF729" s="34">
        <v>2021</v>
      </c>
      <c r="AG729" s="34" t="s">
        <v>274</v>
      </c>
      <c r="AH729" s="35" t="s">
        <v>274</v>
      </c>
    </row>
    <row r="730" spans="1:46" ht="61.5" x14ac:dyDescent="0.85">
      <c r="A730" s="20">
        <v>1</v>
      </c>
      <c r="B730" s="66">
        <f>SUBTOTAL(103,$A$567:A730)</f>
        <v>162</v>
      </c>
      <c r="C730" s="24" t="s">
        <v>446</v>
      </c>
      <c r="D730" s="31">
        <f t="shared" si="267"/>
        <v>150000</v>
      </c>
      <c r="E730" s="31">
        <v>0</v>
      </c>
      <c r="F730" s="31">
        <v>0</v>
      </c>
      <c r="G730" s="31">
        <v>0</v>
      </c>
      <c r="H730" s="31">
        <v>0</v>
      </c>
      <c r="I730" s="31">
        <v>0</v>
      </c>
      <c r="J730" s="31">
        <v>0</v>
      </c>
      <c r="K730" s="33">
        <v>0</v>
      </c>
      <c r="L730" s="31">
        <v>0</v>
      </c>
      <c r="M730" s="31">
        <v>0</v>
      </c>
      <c r="N730" s="31">
        <v>0</v>
      </c>
      <c r="O730" s="31">
        <v>0</v>
      </c>
      <c r="P730" s="31">
        <v>0</v>
      </c>
      <c r="Q730" s="31">
        <v>0</v>
      </c>
      <c r="R730" s="31">
        <v>0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v>0</v>
      </c>
      <c r="Y730" s="31">
        <v>0</v>
      </c>
      <c r="Z730" s="31">
        <v>0</v>
      </c>
      <c r="AA730" s="31">
        <v>0</v>
      </c>
      <c r="AB730" s="31">
        <v>0</v>
      </c>
      <c r="AC730" s="31">
        <f t="shared" si="272"/>
        <v>0</v>
      </c>
      <c r="AD730" s="31">
        <v>150000</v>
      </c>
      <c r="AE730" s="31">
        <v>0</v>
      </c>
      <c r="AF730" s="34">
        <v>2021</v>
      </c>
      <c r="AG730" s="34" t="s">
        <v>274</v>
      </c>
      <c r="AH730" s="35" t="s">
        <v>274</v>
      </c>
    </row>
    <row r="731" spans="1:46" ht="61.5" x14ac:dyDescent="0.85">
      <c r="A731" s="20">
        <v>1</v>
      </c>
      <c r="B731" s="66">
        <f>SUBTOTAL(103,$A$567:A731)</f>
        <v>163</v>
      </c>
      <c r="C731" s="24" t="s">
        <v>447</v>
      </c>
      <c r="D731" s="31">
        <f t="shared" si="267"/>
        <v>120000</v>
      </c>
      <c r="E731" s="31">
        <v>0</v>
      </c>
      <c r="F731" s="31">
        <v>0</v>
      </c>
      <c r="G731" s="31">
        <v>0</v>
      </c>
      <c r="H731" s="31">
        <v>0</v>
      </c>
      <c r="I731" s="31">
        <v>0</v>
      </c>
      <c r="J731" s="31">
        <v>0</v>
      </c>
      <c r="K731" s="33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0</v>
      </c>
      <c r="Q731" s="31">
        <v>0</v>
      </c>
      <c r="R731" s="31">
        <v>0</v>
      </c>
      <c r="S731" s="31">
        <v>0</v>
      </c>
      <c r="T731" s="31">
        <v>0</v>
      </c>
      <c r="U731" s="31">
        <v>0</v>
      </c>
      <c r="V731" s="31">
        <v>0</v>
      </c>
      <c r="W731" s="31">
        <v>0</v>
      </c>
      <c r="X731" s="31">
        <v>0</v>
      </c>
      <c r="Y731" s="31">
        <v>0</v>
      </c>
      <c r="Z731" s="31">
        <v>0</v>
      </c>
      <c r="AA731" s="31">
        <v>0</v>
      </c>
      <c r="AB731" s="31">
        <v>0</v>
      </c>
      <c r="AC731" s="31">
        <f t="shared" si="272"/>
        <v>0</v>
      </c>
      <c r="AD731" s="31">
        <v>120000</v>
      </c>
      <c r="AE731" s="31">
        <v>0</v>
      </c>
      <c r="AF731" s="34">
        <v>2021</v>
      </c>
      <c r="AG731" s="34" t="s">
        <v>274</v>
      </c>
      <c r="AH731" s="35" t="s">
        <v>274</v>
      </c>
    </row>
    <row r="732" spans="1:46" ht="61.5" x14ac:dyDescent="0.85">
      <c r="A732" s="20">
        <v>1</v>
      </c>
      <c r="B732" s="66">
        <f>SUBTOTAL(103,$A$567:A732)</f>
        <v>164</v>
      </c>
      <c r="C732" s="24" t="s">
        <v>209</v>
      </c>
      <c r="D732" s="31">
        <f t="shared" si="267"/>
        <v>150000</v>
      </c>
      <c r="E732" s="31">
        <v>0</v>
      </c>
      <c r="F732" s="31">
        <v>0</v>
      </c>
      <c r="G732" s="31">
        <v>0</v>
      </c>
      <c r="H732" s="31">
        <v>0</v>
      </c>
      <c r="I732" s="31">
        <v>0</v>
      </c>
      <c r="J732" s="31">
        <v>0</v>
      </c>
      <c r="K732" s="33">
        <v>0</v>
      </c>
      <c r="L732" s="31">
        <v>0</v>
      </c>
      <c r="M732" s="31">
        <v>0</v>
      </c>
      <c r="N732" s="31">
        <v>0</v>
      </c>
      <c r="O732" s="31">
        <v>0</v>
      </c>
      <c r="P732" s="31">
        <v>0</v>
      </c>
      <c r="Q732" s="31">
        <v>0</v>
      </c>
      <c r="R732" s="31">
        <v>0</v>
      </c>
      <c r="S732" s="31">
        <v>0</v>
      </c>
      <c r="T732" s="31">
        <v>0</v>
      </c>
      <c r="U732" s="31">
        <v>0</v>
      </c>
      <c r="V732" s="31">
        <v>0</v>
      </c>
      <c r="W732" s="31">
        <v>0</v>
      </c>
      <c r="X732" s="31">
        <v>0</v>
      </c>
      <c r="Y732" s="31">
        <v>0</v>
      </c>
      <c r="Z732" s="31">
        <v>0</v>
      </c>
      <c r="AA732" s="31">
        <v>0</v>
      </c>
      <c r="AB732" s="31">
        <v>0</v>
      </c>
      <c r="AC732" s="31">
        <f t="shared" si="272"/>
        <v>0</v>
      </c>
      <c r="AD732" s="31">
        <v>150000</v>
      </c>
      <c r="AE732" s="31">
        <v>0</v>
      </c>
      <c r="AF732" s="34">
        <v>2021</v>
      </c>
      <c r="AG732" s="34" t="s">
        <v>274</v>
      </c>
      <c r="AH732" s="35" t="s">
        <v>274</v>
      </c>
    </row>
    <row r="733" spans="1:46" ht="61.5" x14ac:dyDescent="0.85">
      <c r="A733" s="20">
        <v>1</v>
      </c>
      <c r="B733" s="66">
        <f>SUBTOTAL(103,$A$567:A733)</f>
        <v>165</v>
      </c>
      <c r="C733" s="24" t="s">
        <v>210</v>
      </c>
      <c r="D733" s="31">
        <f t="shared" si="267"/>
        <v>70000</v>
      </c>
      <c r="E733" s="31">
        <v>0</v>
      </c>
      <c r="F733" s="31">
        <v>0</v>
      </c>
      <c r="G733" s="31">
        <v>0</v>
      </c>
      <c r="H733" s="31">
        <v>0</v>
      </c>
      <c r="I733" s="31">
        <v>0</v>
      </c>
      <c r="J733" s="31">
        <v>0</v>
      </c>
      <c r="K733" s="33">
        <v>0</v>
      </c>
      <c r="L733" s="31">
        <v>0</v>
      </c>
      <c r="M733" s="31">
        <v>0</v>
      </c>
      <c r="N733" s="31">
        <v>0</v>
      </c>
      <c r="O733" s="31">
        <v>0</v>
      </c>
      <c r="P733" s="31">
        <v>0</v>
      </c>
      <c r="Q733" s="31">
        <v>0</v>
      </c>
      <c r="R733" s="31">
        <v>0</v>
      </c>
      <c r="S733" s="31">
        <v>0</v>
      </c>
      <c r="T733" s="31">
        <v>0</v>
      </c>
      <c r="U733" s="31">
        <v>0</v>
      </c>
      <c r="V733" s="31">
        <v>0</v>
      </c>
      <c r="W733" s="31">
        <v>0</v>
      </c>
      <c r="X733" s="31">
        <v>0</v>
      </c>
      <c r="Y733" s="31">
        <v>0</v>
      </c>
      <c r="Z733" s="31">
        <v>0</v>
      </c>
      <c r="AA733" s="31">
        <v>0</v>
      </c>
      <c r="AB733" s="31">
        <v>0</v>
      </c>
      <c r="AC733" s="31">
        <f t="shared" si="272"/>
        <v>0</v>
      </c>
      <c r="AD733" s="31">
        <v>70000</v>
      </c>
      <c r="AE733" s="31">
        <v>0</v>
      </c>
      <c r="AF733" s="34">
        <v>2021</v>
      </c>
      <c r="AG733" s="34" t="s">
        <v>274</v>
      </c>
      <c r="AH733" s="35" t="s">
        <v>274</v>
      </c>
    </row>
    <row r="734" spans="1:46" ht="61.5" x14ac:dyDescent="0.85">
      <c r="A734" s="20">
        <v>1</v>
      </c>
      <c r="B734" s="66">
        <f>SUBTOTAL(103,$A$567:A734)</f>
        <v>166</v>
      </c>
      <c r="C734" s="24" t="s">
        <v>211</v>
      </c>
      <c r="D734" s="31">
        <f t="shared" si="267"/>
        <v>70000</v>
      </c>
      <c r="E734" s="31">
        <v>0</v>
      </c>
      <c r="F734" s="31">
        <v>0</v>
      </c>
      <c r="G734" s="31">
        <v>0</v>
      </c>
      <c r="H734" s="31">
        <v>0</v>
      </c>
      <c r="I734" s="31">
        <v>0</v>
      </c>
      <c r="J734" s="31">
        <v>0</v>
      </c>
      <c r="K734" s="33">
        <v>0</v>
      </c>
      <c r="L734" s="31">
        <v>0</v>
      </c>
      <c r="M734" s="31">
        <v>0</v>
      </c>
      <c r="N734" s="31">
        <v>0</v>
      </c>
      <c r="O734" s="31">
        <v>0</v>
      </c>
      <c r="P734" s="31">
        <v>0</v>
      </c>
      <c r="Q734" s="31">
        <v>0</v>
      </c>
      <c r="R734" s="31">
        <v>0</v>
      </c>
      <c r="S734" s="31">
        <v>0</v>
      </c>
      <c r="T734" s="31">
        <v>0</v>
      </c>
      <c r="U734" s="31">
        <v>0</v>
      </c>
      <c r="V734" s="31">
        <v>0</v>
      </c>
      <c r="W734" s="31">
        <v>0</v>
      </c>
      <c r="X734" s="31">
        <v>0</v>
      </c>
      <c r="Y734" s="31">
        <v>0</v>
      </c>
      <c r="Z734" s="31">
        <v>0</v>
      </c>
      <c r="AA734" s="31">
        <v>0</v>
      </c>
      <c r="AB734" s="31">
        <v>0</v>
      </c>
      <c r="AC734" s="31">
        <f t="shared" si="272"/>
        <v>0</v>
      </c>
      <c r="AD734" s="31">
        <v>70000</v>
      </c>
      <c r="AE734" s="31">
        <v>0</v>
      </c>
      <c r="AF734" s="34">
        <v>2021</v>
      </c>
      <c r="AG734" s="34" t="s">
        <v>274</v>
      </c>
      <c r="AH734" s="35" t="s">
        <v>274</v>
      </c>
    </row>
    <row r="735" spans="1:46" ht="61.5" x14ac:dyDescent="0.85">
      <c r="A735" s="20">
        <v>1</v>
      </c>
      <c r="B735" s="66">
        <f>SUBTOTAL(103,$A$567:A735)</f>
        <v>167</v>
      </c>
      <c r="C735" s="24" t="s">
        <v>212</v>
      </c>
      <c r="D735" s="31">
        <f t="shared" si="267"/>
        <v>70000</v>
      </c>
      <c r="E735" s="31">
        <v>0</v>
      </c>
      <c r="F735" s="31">
        <v>0</v>
      </c>
      <c r="G735" s="31">
        <v>0</v>
      </c>
      <c r="H735" s="31">
        <v>0</v>
      </c>
      <c r="I735" s="31">
        <v>0</v>
      </c>
      <c r="J735" s="31">
        <v>0</v>
      </c>
      <c r="K735" s="33">
        <v>0</v>
      </c>
      <c r="L735" s="31">
        <v>0</v>
      </c>
      <c r="M735" s="31">
        <v>0</v>
      </c>
      <c r="N735" s="31">
        <v>0</v>
      </c>
      <c r="O735" s="31">
        <v>0</v>
      </c>
      <c r="P735" s="31">
        <v>0</v>
      </c>
      <c r="Q735" s="31">
        <v>0</v>
      </c>
      <c r="R735" s="31">
        <v>0</v>
      </c>
      <c r="S735" s="31">
        <v>0</v>
      </c>
      <c r="T735" s="31">
        <v>0</v>
      </c>
      <c r="U735" s="31">
        <v>0</v>
      </c>
      <c r="V735" s="31">
        <v>0</v>
      </c>
      <c r="W735" s="31">
        <v>0</v>
      </c>
      <c r="X735" s="31">
        <v>0</v>
      </c>
      <c r="Y735" s="31">
        <v>0</v>
      </c>
      <c r="Z735" s="31">
        <v>0</v>
      </c>
      <c r="AA735" s="31">
        <v>0</v>
      </c>
      <c r="AB735" s="31">
        <v>0</v>
      </c>
      <c r="AC735" s="31">
        <f t="shared" si="272"/>
        <v>0</v>
      </c>
      <c r="AD735" s="31">
        <v>70000</v>
      </c>
      <c r="AE735" s="31">
        <v>0</v>
      </c>
      <c r="AF735" s="34">
        <v>2021</v>
      </c>
      <c r="AG735" s="34" t="s">
        <v>274</v>
      </c>
      <c r="AH735" s="35" t="s">
        <v>274</v>
      </c>
    </row>
    <row r="736" spans="1:46" ht="61.5" x14ac:dyDescent="0.85">
      <c r="A736" s="20">
        <v>1</v>
      </c>
      <c r="B736" s="66">
        <f>SUBTOTAL(103,$A$567:A736)</f>
        <v>168</v>
      </c>
      <c r="C736" s="24" t="s">
        <v>448</v>
      </c>
      <c r="D736" s="31">
        <f t="shared" si="267"/>
        <v>180000</v>
      </c>
      <c r="E736" s="31">
        <v>0</v>
      </c>
      <c r="F736" s="31">
        <v>0</v>
      </c>
      <c r="G736" s="31">
        <v>0</v>
      </c>
      <c r="H736" s="31">
        <v>0</v>
      </c>
      <c r="I736" s="31">
        <v>0</v>
      </c>
      <c r="J736" s="31">
        <v>0</v>
      </c>
      <c r="K736" s="33">
        <v>0</v>
      </c>
      <c r="L736" s="31">
        <v>0</v>
      </c>
      <c r="M736" s="31">
        <v>0</v>
      </c>
      <c r="N736" s="31">
        <v>0</v>
      </c>
      <c r="O736" s="31">
        <v>0</v>
      </c>
      <c r="P736" s="31">
        <v>0</v>
      </c>
      <c r="Q736" s="31">
        <v>0</v>
      </c>
      <c r="R736" s="31">
        <v>0</v>
      </c>
      <c r="S736" s="31">
        <v>0</v>
      </c>
      <c r="T736" s="31">
        <v>0</v>
      </c>
      <c r="U736" s="31">
        <v>0</v>
      </c>
      <c r="V736" s="31">
        <v>0</v>
      </c>
      <c r="W736" s="31">
        <v>0</v>
      </c>
      <c r="X736" s="31">
        <v>0</v>
      </c>
      <c r="Y736" s="31">
        <v>0</v>
      </c>
      <c r="Z736" s="31">
        <v>0</v>
      </c>
      <c r="AA736" s="31">
        <v>0</v>
      </c>
      <c r="AB736" s="31">
        <v>0</v>
      </c>
      <c r="AC736" s="31">
        <f t="shared" si="272"/>
        <v>0</v>
      </c>
      <c r="AD736" s="31">
        <v>180000</v>
      </c>
      <c r="AE736" s="31">
        <v>0</v>
      </c>
      <c r="AF736" s="34">
        <v>2021</v>
      </c>
      <c r="AG736" s="34" t="s">
        <v>274</v>
      </c>
      <c r="AH736" s="35" t="s">
        <v>274</v>
      </c>
    </row>
    <row r="737" spans="1:46" ht="61.5" x14ac:dyDescent="0.85">
      <c r="A737" s="20">
        <v>1</v>
      </c>
      <c r="B737" s="66">
        <f>SUBTOTAL(103,$A$567:A737)</f>
        <v>169</v>
      </c>
      <c r="C737" s="24" t="s">
        <v>449</v>
      </c>
      <c r="D737" s="31">
        <f t="shared" si="267"/>
        <v>100000</v>
      </c>
      <c r="E737" s="31">
        <v>0</v>
      </c>
      <c r="F737" s="31">
        <v>0</v>
      </c>
      <c r="G737" s="31">
        <v>0</v>
      </c>
      <c r="H737" s="31">
        <v>0</v>
      </c>
      <c r="I737" s="31">
        <v>0</v>
      </c>
      <c r="J737" s="31">
        <v>0</v>
      </c>
      <c r="K737" s="33">
        <v>0</v>
      </c>
      <c r="L737" s="31">
        <v>0</v>
      </c>
      <c r="M737" s="31">
        <v>0</v>
      </c>
      <c r="N737" s="31">
        <v>0</v>
      </c>
      <c r="O737" s="31">
        <v>0</v>
      </c>
      <c r="P737" s="31">
        <v>0</v>
      </c>
      <c r="Q737" s="31">
        <v>0</v>
      </c>
      <c r="R737" s="31">
        <v>0</v>
      </c>
      <c r="S737" s="31">
        <v>0</v>
      </c>
      <c r="T737" s="31">
        <v>0</v>
      </c>
      <c r="U737" s="31">
        <v>0</v>
      </c>
      <c r="V737" s="31">
        <v>0</v>
      </c>
      <c r="W737" s="31">
        <v>0</v>
      </c>
      <c r="X737" s="31">
        <v>0</v>
      </c>
      <c r="Y737" s="31">
        <v>0</v>
      </c>
      <c r="Z737" s="31">
        <v>0</v>
      </c>
      <c r="AA737" s="31">
        <v>0</v>
      </c>
      <c r="AB737" s="31">
        <v>0</v>
      </c>
      <c r="AC737" s="31">
        <f t="shared" si="272"/>
        <v>0</v>
      </c>
      <c r="AD737" s="31">
        <v>100000</v>
      </c>
      <c r="AE737" s="31">
        <v>0</v>
      </c>
      <c r="AF737" s="34">
        <v>2021</v>
      </c>
      <c r="AG737" s="34" t="s">
        <v>274</v>
      </c>
      <c r="AH737" s="35" t="s">
        <v>274</v>
      </c>
    </row>
    <row r="738" spans="1:46" ht="61.5" x14ac:dyDescent="0.85">
      <c r="A738" s="20">
        <v>1</v>
      </c>
      <c r="B738" s="66">
        <f>SUBTOTAL(103,$A$567:A738)</f>
        <v>170</v>
      </c>
      <c r="C738" s="24" t="s">
        <v>450</v>
      </c>
      <c r="D738" s="31">
        <f t="shared" si="267"/>
        <v>150000</v>
      </c>
      <c r="E738" s="31">
        <v>0</v>
      </c>
      <c r="F738" s="31">
        <v>0</v>
      </c>
      <c r="G738" s="31">
        <v>0</v>
      </c>
      <c r="H738" s="31">
        <v>0</v>
      </c>
      <c r="I738" s="31">
        <v>0</v>
      </c>
      <c r="J738" s="31">
        <v>0</v>
      </c>
      <c r="K738" s="33">
        <v>0</v>
      </c>
      <c r="L738" s="31">
        <v>0</v>
      </c>
      <c r="M738" s="31">
        <v>0</v>
      </c>
      <c r="N738" s="31">
        <v>0</v>
      </c>
      <c r="O738" s="31">
        <v>0</v>
      </c>
      <c r="P738" s="31">
        <v>0</v>
      </c>
      <c r="Q738" s="31">
        <v>0</v>
      </c>
      <c r="R738" s="31">
        <v>0</v>
      </c>
      <c r="S738" s="31">
        <v>0</v>
      </c>
      <c r="T738" s="31">
        <v>0</v>
      </c>
      <c r="U738" s="31">
        <v>0</v>
      </c>
      <c r="V738" s="31">
        <v>0</v>
      </c>
      <c r="W738" s="31">
        <v>0</v>
      </c>
      <c r="X738" s="31">
        <v>0</v>
      </c>
      <c r="Y738" s="31">
        <v>0</v>
      </c>
      <c r="Z738" s="31">
        <v>0</v>
      </c>
      <c r="AA738" s="31">
        <v>0</v>
      </c>
      <c r="AB738" s="31">
        <v>0</v>
      </c>
      <c r="AC738" s="31">
        <f t="shared" si="272"/>
        <v>0</v>
      </c>
      <c r="AD738" s="31">
        <v>150000</v>
      </c>
      <c r="AE738" s="31">
        <v>0</v>
      </c>
      <c r="AF738" s="34">
        <v>2021</v>
      </c>
      <c r="AG738" s="34" t="s">
        <v>274</v>
      </c>
      <c r="AH738" s="35" t="s">
        <v>274</v>
      </c>
    </row>
    <row r="739" spans="1:46" ht="61.5" x14ac:dyDescent="0.85">
      <c r="A739" s="20">
        <v>1</v>
      </c>
      <c r="B739" s="66">
        <f>SUBTOTAL(103,$A$567:A739)</f>
        <v>171</v>
      </c>
      <c r="C739" s="24" t="s">
        <v>451</v>
      </c>
      <c r="D739" s="31">
        <f t="shared" si="267"/>
        <v>150000</v>
      </c>
      <c r="E739" s="31">
        <v>0</v>
      </c>
      <c r="F739" s="31">
        <v>0</v>
      </c>
      <c r="G739" s="31">
        <v>0</v>
      </c>
      <c r="H739" s="31">
        <v>0</v>
      </c>
      <c r="I739" s="31">
        <v>0</v>
      </c>
      <c r="J739" s="31">
        <v>0</v>
      </c>
      <c r="K739" s="33">
        <v>0</v>
      </c>
      <c r="L739" s="31">
        <v>0</v>
      </c>
      <c r="M739" s="31">
        <v>0</v>
      </c>
      <c r="N739" s="31">
        <v>0</v>
      </c>
      <c r="O739" s="31">
        <v>0</v>
      </c>
      <c r="P739" s="31">
        <v>0</v>
      </c>
      <c r="Q739" s="31">
        <v>0</v>
      </c>
      <c r="R739" s="31">
        <v>0</v>
      </c>
      <c r="S739" s="31">
        <v>0</v>
      </c>
      <c r="T739" s="31">
        <v>0</v>
      </c>
      <c r="U739" s="31">
        <v>0</v>
      </c>
      <c r="V739" s="31">
        <v>0</v>
      </c>
      <c r="W739" s="31">
        <v>0</v>
      </c>
      <c r="X739" s="31">
        <v>0</v>
      </c>
      <c r="Y739" s="31">
        <v>0</v>
      </c>
      <c r="Z739" s="31">
        <v>0</v>
      </c>
      <c r="AA739" s="31">
        <v>0</v>
      </c>
      <c r="AB739" s="31">
        <v>0</v>
      </c>
      <c r="AC739" s="31">
        <f t="shared" si="272"/>
        <v>0</v>
      </c>
      <c r="AD739" s="31">
        <v>150000</v>
      </c>
      <c r="AE739" s="31">
        <v>0</v>
      </c>
      <c r="AF739" s="34">
        <v>2021</v>
      </c>
      <c r="AG739" s="34" t="s">
        <v>274</v>
      </c>
      <c r="AH739" s="35" t="s">
        <v>274</v>
      </c>
    </row>
    <row r="740" spans="1:46" ht="61.5" x14ac:dyDescent="0.85">
      <c r="A740" s="20">
        <v>1</v>
      </c>
      <c r="B740" s="66">
        <f>SUBTOTAL(103,$A$567:A740)</f>
        <v>172</v>
      </c>
      <c r="C740" s="24" t="s">
        <v>452</v>
      </c>
      <c r="D740" s="31">
        <f t="shared" si="267"/>
        <v>120000</v>
      </c>
      <c r="E740" s="31">
        <v>0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3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  <c r="V740" s="31">
        <v>0</v>
      </c>
      <c r="W740" s="31">
        <v>0</v>
      </c>
      <c r="X740" s="31">
        <v>0</v>
      </c>
      <c r="Y740" s="31">
        <v>0</v>
      </c>
      <c r="Z740" s="31">
        <v>0</v>
      </c>
      <c r="AA740" s="31">
        <v>0</v>
      </c>
      <c r="AB740" s="31">
        <v>0</v>
      </c>
      <c r="AC740" s="31">
        <f t="shared" si="272"/>
        <v>0</v>
      </c>
      <c r="AD740" s="31">
        <v>120000</v>
      </c>
      <c r="AE740" s="31">
        <v>0</v>
      </c>
      <c r="AF740" s="34">
        <v>2021</v>
      </c>
      <c r="AG740" s="34" t="s">
        <v>274</v>
      </c>
      <c r="AH740" s="35" t="s">
        <v>274</v>
      </c>
    </row>
    <row r="741" spans="1:46" ht="61.5" x14ac:dyDescent="0.85">
      <c r="A741" s="20">
        <v>1</v>
      </c>
      <c r="B741" s="66">
        <f>SUBTOTAL(103,$A$567:A741)</f>
        <v>173</v>
      </c>
      <c r="C741" s="24" t="s">
        <v>453</v>
      </c>
      <c r="D741" s="31">
        <f t="shared" si="267"/>
        <v>180000</v>
      </c>
      <c r="E741" s="31">
        <v>0</v>
      </c>
      <c r="F741" s="31">
        <v>0</v>
      </c>
      <c r="G741" s="31">
        <v>0</v>
      </c>
      <c r="H741" s="31">
        <v>0</v>
      </c>
      <c r="I741" s="31">
        <v>0</v>
      </c>
      <c r="J741" s="31">
        <v>0</v>
      </c>
      <c r="K741" s="33">
        <v>0</v>
      </c>
      <c r="L741" s="31">
        <v>0</v>
      </c>
      <c r="M741" s="31">
        <v>0</v>
      </c>
      <c r="N741" s="31">
        <v>0</v>
      </c>
      <c r="O741" s="31">
        <v>0</v>
      </c>
      <c r="P741" s="31">
        <v>0</v>
      </c>
      <c r="Q741" s="31">
        <v>0</v>
      </c>
      <c r="R741" s="31">
        <v>0</v>
      </c>
      <c r="S741" s="31">
        <v>0</v>
      </c>
      <c r="T741" s="31">
        <v>0</v>
      </c>
      <c r="U741" s="31">
        <v>0</v>
      </c>
      <c r="V741" s="31">
        <v>0</v>
      </c>
      <c r="W741" s="31">
        <v>0</v>
      </c>
      <c r="X741" s="31">
        <v>0</v>
      </c>
      <c r="Y741" s="31">
        <v>0</v>
      </c>
      <c r="Z741" s="31">
        <v>0</v>
      </c>
      <c r="AA741" s="31">
        <v>0</v>
      </c>
      <c r="AB741" s="31">
        <v>0</v>
      </c>
      <c r="AC741" s="31">
        <f t="shared" si="272"/>
        <v>0</v>
      </c>
      <c r="AD741" s="31">
        <v>180000</v>
      </c>
      <c r="AE741" s="31">
        <v>0</v>
      </c>
      <c r="AF741" s="34">
        <v>2021</v>
      </c>
      <c r="AG741" s="34" t="s">
        <v>274</v>
      </c>
      <c r="AH741" s="35" t="s">
        <v>274</v>
      </c>
    </row>
    <row r="742" spans="1:46" ht="61.5" x14ac:dyDescent="0.85">
      <c r="A742" s="20">
        <v>1</v>
      </c>
      <c r="B742" s="66">
        <f>SUBTOTAL(103,$A$567:A742)</f>
        <v>174</v>
      </c>
      <c r="C742" s="24" t="s">
        <v>454</v>
      </c>
      <c r="D742" s="31">
        <f t="shared" si="267"/>
        <v>150000</v>
      </c>
      <c r="E742" s="31">
        <v>0</v>
      </c>
      <c r="F742" s="31">
        <v>0</v>
      </c>
      <c r="G742" s="31">
        <v>0</v>
      </c>
      <c r="H742" s="31">
        <v>0</v>
      </c>
      <c r="I742" s="31">
        <v>0</v>
      </c>
      <c r="J742" s="31">
        <v>0</v>
      </c>
      <c r="K742" s="33">
        <v>0</v>
      </c>
      <c r="L742" s="31">
        <v>0</v>
      </c>
      <c r="M742" s="31">
        <v>0</v>
      </c>
      <c r="N742" s="31">
        <v>0</v>
      </c>
      <c r="O742" s="31">
        <v>0</v>
      </c>
      <c r="P742" s="31">
        <v>0</v>
      </c>
      <c r="Q742" s="31">
        <v>0</v>
      </c>
      <c r="R742" s="31">
        <v>0</v>
      </c>
      <c r="S742" s="31">
        <v>0</v>
      </c>
      <c r="T742" s="31">
        <v>0</v>
      </c>
      <c r="U742" s="31">
        <v>0</v>
      </c>
      <c r="V742" s="31">
        <v>0</v>
      </c>
      <c r="W742" s="31">
        <v>0</v>
      </c>
      <c r="X742" s="31">
        <v>0</v>
      </c>
      <c r="Y742" s="31">
        <v>0</v>
      </c>
      <c r="Z742" s="31">
        <v>0</v>
      </c>
      <c r="AA742" s="31">
        <v>0</v>
      </c>
      <c r="AB742" s="31">
        <v>0</v>
      </c>
      <c r="AC742" s="31">
        <f t="shared" si="272"/>
        <v>0</v>
      </c>
      <c r="AD742" s="31">
        <v>150000</v>
      </c>
      <c r="AE742" s="31">
        <v>0</v>
      </c>
      <c r="AF742" s="34">
        <v>2021</v>
      </c>
      <c r="AG742" s="34" t="s">
        <v>274</v>
      </c>
      <c r="AH742" s="35" t="s">
        <v>274</v>
      </c>
    </row>
    <row r="743" spans="1:46" ht="61.5" x14ac:dyDescent="0.85">
      <c r="A743" s="20">
        <v>1</v>
      </c>
      <c r="B743" s="66">
        <f>SUBTOTAL(103,$A$567:A743)</f>
        <v>175</v>
      </c>
      <c r="C743" s="24" t="s">
        <v>455</v>
      </c>
      <c r="D743" s="31">
        <f t="shared" si="267"/>
        <v>120000</v>
      </c>
      <c r="E743" s="31">
        <v>0</v>
      </c>
      <c r="F743" s="31">
        <v>0</v>
      </c>
      <c r="G743" s="31">
        <v>0</v>
      </c>
      <c r="H743" s="31">
        <v>0</v>
      </c>
      <c r="I743" s="31">
        <v>0</v>
      </c>
      <c r="J743" s="31">
        <v>0</v>
      </c>
      <c r="K743" s="33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1">
        <v>0</v>
      </c>
      <c r="S743" s="31">
        <v>0</v>
      </c>
      <c r="T743" s="31">
        <v>0</v>
      </c>
      <c r="U743" s="31">
        <v>0</v>
      </c>
      <c r="V743" s="31">
        <v>0</v>
      </c>
      <c r="W743" s="31">
        <v>0</v>
      </c>
      <c r="X743" s="31">
        <v>0</v>
      </c>
      <c r="Y743" s="31">
        <v>0</v>
      </c>
      <c r="Z743" s="31">
        <v>0</v>
      </c>
      <c r="AA743" s="31">
        <v>0</v>
      </c>
      <c r="AB743" s="31">
        <v>0</v>
      </c>
      <c r="AC743" s="31">
        <f t="shared" si="272"/>
        <v>0</v>
      </c>
      <c r="AD743" s="31">
        <v>120000</v>
      </c>
      <c r="AE743" s="31">
        <v>0</v>
      </c>
      <c r="AF743" s="34">
        <v>2021</v>
      </c>
      <c r="AG743" s="34" t="s">
        <v>274</v>
      </c>
      <c r="AH743" s="35" t="s">
        <v>274</v>
      </c>
    </row>
    <row r="744" spans="1:46" ht="61.5" x14ac:dyDescent="0.85">
      <c r="A744" s="20">
        <v>1</v>
      </c>
      <c r="B744" s="66">
        <f>SUBTOTAL(103,$A$567:A744)</f>
        <v>176</v>
      </c>
      <c r="C744" s="24" t="s">
        <v>214</v>
      </c>
      <c r="D744" s="31">
        <f t="shared" si="267"/>
        <v>150000</v>
      </c>
      <c r="E744" s="31">
        <v>0</v>
      </c>
      <c r="F744" s="31">
        <v>0</v>
      </c>
      <c r="G744" s="31">
        <v>0</v>
      </c>
      <c r="H744" s="31">
        <v>0</v>
      </c>
      <c r="I744" s="31">
        <v>0</v>
      </c>
      <c r="J744" s="31">
        <v>0</v>
      </c>
      <c r="K744" s="33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  <c r="V744" s="31">
        <v>0</v>
      </c>
      <c r="W744" s="31">
        <v>0</v>
      </c>
      <c r="X744" s="31">
        <v>0</v>
      </c>
      <c r="Y744" s="31">
        <v>0</v>
      </c>
      <c r="Z744" s="31">
        <v>0</v>
      </c>
      <c r="AA744" s="31">
        <v>0</v>
      </c>
      <c r="AB744" s="31">
        <v>0</v>
      </c>
      <c r="AC744" s="31">
        <f t="shared" si="272"/>
        <v>0</v>
      </c>
      <c r="AD744" s="31">
        <v>150000</v>
      </c>
      <c r="AE744" s="31">
        <v>0</v>
      </c>
      <c r="AF744" s="34">
        <v>2021</v>
      </c>
      <c r="AG744" s="34" t="s">
        <v>274</v>
      </c>
      <c r="AH744" s="35" t="s">
        <v>274</v>
      </c>
    </row>
    <row r="745" spans="1:46" ht="61.5" x14ac:dyDescent="0.85">
      <c r="A745" s="20">
        <v>1</v>
      </c>
      <c r="B745" s="66">
        <f>SUBTOTAL(103,$A$567:A745)</f>
        <v>177</v>
      </c>
      <c r="C745" s="24" t="s">
        <v>213</v>
      </c>
      <c r="D745" s="31">
        <f t="shared" si="267"/>
        <v>150000</v>
      </c>
      <c r="E745" s="31">
        <v>0</v>
      </c>
      <c r="F745" s="31">
        <v>0</v>
      </c>
      <c r="G745" s="31">
        <v>0</v>
      </c>
      <c r="H745" s="31">
        <v>0</v>
      </c>
      <c r="I745" s="31">
        <v>0</v>
      </c>
      <c r="J745" s="31">
        <v>0</v>
      </c>
      <c r="K745" s="33">
        <v>0</v>
      </c>
      <c r="L745" s="31">
        <v>0</v>
      </c>
      <c r="M745" s="31">
        <v>0</v>
      </c>
      <c r="N745" s="31">
        <v>0</v>
      </c>
      <c r="O745" s="31">
        <v>0</v>
      </c>
      <c r="P745" s="31">
        <v>0</v>
      </c>
      <c r="Q745" s="31">
        <v>0</v>
      </c>
      <c r="R745" s="31">
        <v>0</v>
      </c>
      <c r="S745" s="31">
        <v>0</v>
      </c>
      <c r="T745" s="31">
        <v>0</v>
      </c>
      <c r="U745" s="31">
        <v>0</v>
      </c>
      <c r="V745" s="31">
        <v>0</v>
      </c>
      <c r="W745" s="31">
        <v>0</v>
      </c>
      <c r="X745" s="31">
        <v>0</v>
      </c>
      <c r="Y745" s="31">
        <v>0</v>
      </c>
      <c r="Z745" s="31">
        <v>0</v>
      </c>
      <c r="AA745" s="31">
        <v>0</v>
      </c>
      <c r="AB745" s="31">
        <v>0</v>
      </c>
      <c r="AC745" s="31">
        <f t="shared" si="272"/>
        <v>0</v>
      </c>
      <c r="AD745" s="31">
        <v>150000</v>
      </c>
      <c r="AE745" s="31">
        <v>0</v>
      </c>
      <c r="AF745" s="34">
        <v>2021</v>
      </c>
      <c r="AG745" s="34" t="s">
        <v>274</v>
      </c>
      <c r="AH745" s="35" t="s">
        <v>274</v>
      </c>
    </row>
    <row r="746" spans="1:46" ht="61.5" x14ac:dyDescent="0.85">
      <c r="A746" s="20">
        <v>1</v>
      </c>
      <c r="B746" s="66">
        <f>SUBTOTAL(103,$A$567:A746)</f>
        <v>178</v>
      </c>
      <c r="C746" s="24" t="s">
        <v>456</v>
      </c>
      <c r="D746" s="31">
        <f t="shared" si="267"/>
        <v>100000</v>
      </c>
      <c r="E746" s="31">
        <v>0</v>
      </c>
      <c r="F746" s="31">
        <v>0</v>
      </c>
      <c r="G746" s="31">
        <v>0</v>
      </c>
      <c r="H746" s="31">
        <v>0</v>
      </c>
      <c r="I746" s="31">
        <v>0</v>
      </c>
      <c r="J746" s="31">
        <v>0</v>
      </c>
      <c r="K746" s="33">
        <v>0</v>
      </c>
      <c r="L746" s="31">
        <v>0</v>
      </c>
      <c r="M746" s="31">
        <v>0</v>
      </c>
      <c r="N746" s="31">
        <v>0</v>
      </c>
      <c r="O746" s="31">
        <v>0</v>
      </c>
      <c r="P746" s="31">
        <v>0</v>
      </c>
      <c r="Q746" s="31">
        <v>0</v>
      </c>
      <c r="R746" s="31">
        <v>0</v>
      </c>
      <c r="S746" s="31">
        <v>0</v>
      </c>
      <c r="T746" s="31">
        <v>0</v>
      </c>
      <c r="U746" s="31">
        <v>0</v>
      </c>
      <c r="V746" s="31">
        <v>0</v>
      </c>
      <c r="W746" s="31">
        <v>0</v>
      </c>
      <c r="X746" s="31">
        <v>0</v>
      </c>
      <c r="Y746" s="31">
        <v>0</v>
      </c>
      <c r="Z746" s="31">
        <v>0</v>
      </c>
      <c r="AA746" s="31">
        <v>0</v>
      </c>
      <c r="AB746" s="31">
        <v>0</v>
      </c>
      <c r="AC746" s="31">
        <f t="shared" si="272"/>
        <v>0</v>
      </c>
      <c r="AD746" s="31">
        <v>100000</v>
      </c>
      <c r="AE746" s="31">
        <v>0</v>
      </c>
      <c r="AF746" s="34">
        <v>2021</v>
      </c>
      <c r="AG746" s="34" t="s">
        <v>274</v>
      </c>
      <c r="AH746" s="35" t="s">
        <v>274</v>
      </c>
    </row>
    <row r="747" spans="1:46" ht="61.5" x14ac:dyDescent="0.85">
      <c r="A747" s="20">
        <v>1</v>
      </c>
      <c r="B747" s="66">
        <f>SUBTOTAL(103,$A$567:A747)</f>
        <v>179</v>
      </c>
      <c r="C747" s="24" t="s">
        <v>457</v>
      </c>
      <c r="D747" s="31">
        <f t="shared" si="267"/>
        <v>120000</v>
      </c>
      <c r="E747" s="31">
        <v>0</v>
      </c>
      <c r="F747" s="31">
        <v>0</v>
      </c>
      <c r="G747" s="31">
        <v>0</v>
      </c>
      <c r="H747" s="31">
        <v>0</v>
      </c>
      <c r="I747" s="31">
        <v>0</v>
      </c>
      <c r="J747" s="31">
        <v>0</v>
      </c>
      <c r="K747" s="33">
        <v>0</v>
      </c>
      <c r="L747" s="31">
        <v>0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0</v>
      </c>
      <c r="S747" s="31">
        <v>0</v>
      </c>
      <c r="T747" s="31">
        <v>0</v>
      </c>
      <c r="U747" s="31">
        <v>0</v>
      </c>
      <c r="V747" s="31">
        <v>0</v>
      </c>
      <c r="W747" s="31">
        <v>0</v>
      </c>
      <c r="X747" s="31">
        <v>0</v>
      </c>
      <c r="Y747" s="31">
        <v>0</v>
      </c>
      <c r="Z747" s="31">
        <v>0</v>
      </c>
      <c r="AA747" s="31">
        <v>0</v>
      </c>
      <c r="AB747" s="31">
        <v>0</v>
      </c>
      <c r="AC747" s="31">
        <f t="shared" si="272"/>
        <v>0</v>
      </c>
      <c r="AD747" s="31">
        <v>120000</v>
      </c>
      <c r="AE747" s="31">
        <v>0</v>
      </c>
      <c r="AF747" s="34">
        <v>2021</v>
      </c>
      <c r="AG747" s="34" t="s">
        <v>274</v>
      </c>
      <c r="AH747" s="35" t="s">
        <v>274</v>
      </c>
    </row>
    <row r="748" spans="1:46" ht="61.5" x14ac:dyDescent="0.85">
      <c r="A748" s="20">
        <v>1</v>
      </c>
      <c r="B748" s="66">
        <f>SUBTOTAL(103,$A$567:A748)</f>
        <v>180</v>
      </c>
      <c r="C748" s="24" t="s">
        <v>458</v>
      </c>
      <c r="D748" s="31">
        <f t="shared" si="267"/>
        <v>150000</v>
      </c>
      <c r="E748" s="31">
        <v>0</v>
      </c>
      <c r="F748" s="31">
        <v>0</v>
      </c>
      <c r="G748" s="31">
        <v>0</v>
      </c>
      <c r="H748" s="31">
        <v>0</v>
      </c>
      <c r="I748" s="31">
        <v>0</v>
      </c>
      <c r="J748" s="31">
        <v>0</v>
      </c>
      <c r="K748" s="33">
        <v>0</v>
      </c>
      <c r="L748" s="31">
        <v>0</v>
      </c>
      <c r="M748" s="31">
        <v>0</v>
      </c>
      <c r="N748" s="31">
        <v>0</v>
      </c>
      <c r="O748" s="31">
        <v>0</v>
      </c>
      <c r="P748" s="31">
        <v>0</v>
      </c>
      <c r="Q748" s="31">
        <v>0</v>
      </c>
      <c r="R748" s="31">
        <v>0</v>
      </c>
      <c r="S748" s="31">
        <v>0</v>
      </c>
      <c r="T748" s="31">
        <v>0</v>
      </c>
      <c r="U748" s="31">
        <v>0</v>
      </c>
      <c r="V748" s="31">
        <v>0</v>
      </c>
      <c r="W748" s="31">
        <v>0</v>
      </c>
      <c r="X748" s="31">
        <v>0</v>
      </c>
      <c r="Y748" s="31">
        <v>0</v>
      </c>
      <c r="Z748" s="31">
        <v>0</v>
      </c>
      <c r="AA748" s="31">
        <v>0</v>
      </c>
      <c r="AB748" s="31">
        <v>0</v>
      </c>
      <c r="AC748" s="31">
        <f t="shared" si="272"/>
        <v>0</v>
      </c>
      <c r="AD748" s="31">
        <v>150000</v>
      </c>
      <c r="AE748" s="31">
        <v>0</v>
      </c>
      <c r="AF748" s="34">
        <v>2021</v>
      </c>
      <c r="AG748" s="34" t="s">
        <v>274</v>
      </c>
      <c r="AH748" s="35" t="s">
        <v>274</v>
      </c>
    </row>
    <row r="749" spans="1:46" ht="61.5" x14ac:dyDescent="0.85">
      <c r="A749" s="20">
        <v>1</v>
      </c>
      <c r="B749" s="66">
        <f>SUBTOTAL(103,$A$567:A749)</f>
        <v>181</v>
      </c>
      <c r="C749" s="24" t="s">
        <v>459</v>
      </c>
      <c r="D749" s="31">
        <f t="shared" si="267"/>
        <v>120000</v>
      </c>
      <c r="E749" s="31">
        <v>0</v>
      </c>
      <c r="F749" s="31">
        <v>0</v>
      </c>
      <c r="G749" s="31">
        <v>0</v>
      </c>
      <c r="H749" s="31">
        <v>0</v>
      </c>
      <c r="I749" s="31">
        <v>0</v>
      </c>
      <c r="J749" s="31">
        <v>0</v>
      </c>
      <c r="K749" s="33">
        <v>0</v>
      </c>
      <c r="L749" s="31">
        <v>0</v>
      </c>
      <c r="M749" s="31">
        <v>0</v>
      </c>
      <c r="N749" s="31">
        <v>0</v>
      </c>
      <c r="O749" s="31">
        <v>0</v>
      </c>
      <c r="P749" s="31">
        <v>0</v>
      </c>
      <c r="Q749" s="31">
        <v>0</v>
      </c>
      <c r="R749" s="31">
        <v>0</v>
      </c>
      <c r="S749" s="31">
        <v>0</v>
      </c>
      <c r="T749" s="31">
        <v>0</v>
      </c>
      <c r="U749" s="31">
        <v>0</v>
      </c>
      <c r="V749" s="31">
        <v>0</v>
      </c>
      <c r="W749" s="31">
        <v>0</v>
      </c>
      <c r="X749" s="31">
        <v>0</v>
      </c>
      <c r="Y749" s="31">
        <v>0</v>
      </c>
      <c r="Z749" s="31">
        <v>0</v>
      </c>
      <c r="AA749" s="31">
        <v>0</v>
      </c>
      <c r="AB749" s="31">
        <v>0</v>
      </c>
      <c r="AC749" s="31">
        <f t="shared" si="272"/>
        <v>0</v>
      </c>
      <c r="AD749" s="31">
        <v>120000</v>
      </c>
      <c r="AE749" s="31">
        <v>0</v>
      </c>
      <c r="AF749" s="34">
        <v>2021</v>
      </c>
      <c r="AG749" s="34" t="s">
        <v>274</v>
      </c>
      <c r="AH749" s="35" t="s">
        <v>274</v>
      </c>
    </row>
    <row r="750" spans="1:46" ht="61.5" x14ac:dyDescent="0.85">
      <c r="A750" s="20">
        <v>1</v>
      </c>
      <c r="B750" s="66">
        <f>SUBTOTAL(103,$A$567:A750)</f>
        <v>182</v>
      </c>
      <c r="C750" s="24" t="s">
        <v>857</v>
      </c>
      <c r="D750" s="31">
        <f t="shared" si="267"/>
        <v>100000</v>
      </c>
      <c r="E750" s="31">
        <v>0</v>
      </c>
      <c r="F750" s="31">
        <v>0</v>
      </c>
      <c r="G750" s="31">
        <v>0</v>
      </c>
      <c r="H750" s="31">
        <v>0</v>
      </c>
      <c r="I750" s="31">
        <v>0</v>
      </c>
      <c r="J750" s="31">
        <v>0</v>
      </c>
      <c r="K750" s="33">
        <v>0</v>
      </c>
      <c r="L750" s="31">
        <v>0</v>
      </c>
      <c r="M750" s="31">
        <v>0</v>
      </c>
      <c r="N750" s="31">
        <v>0</v>
      </c>
      <c r="O750" s="31">
        <v>0</v>
      </c>
      <c r="P750" s="31">
        <v>0</v>
      </c>
      <c r="Q750" s="31">
        <v>0</v>
      </c>
      <c r="R750" s="31">
        <v>0</v>
      </c>
      <c r="S750" s="31">
        <v>0</v>
      </c>
      <c r="T750" s="31">
        <v>0</v>
      </c>
      <c r="U750" s="31">
        <v>0</v>
      </c>
      <c r="V750" s="31">
        <v>0</v>
      </c>
      <c r="W750" s="31">
        <v>0</v>
      </c>
      <c r="X750" s="31">
        <v>0</v>
      </c>
      <c r="Y750" s="31">
        <v>0</v>
      </c>
      <c r="Z750" s="31">
        <v>0</v>
      </c>
      <c r="AA750" s="31">
        <v>0</v>
      </c>
      <c r="AB750" s="31">
        <v>0</v>
      </c>
      <c r="AC750" s="31">
        <f t="shared" si="272"/>
        <v>0</v>
      </c>
      <c r="AD750" s="31">
        <v>100000</v>
      </c>
      <c r="AE750" s="31">
        <v>0</v>
      </c>
      <c r="AF750" s="34">
        <v>2021</v>
      </c>
      <c r="AG750" s="34" t="s">
        <v>274</v>
      </c>
      <c r="AH750" s="35" t="s">
        <v>274</v>
      </c>
    </row>
    <row r="751" spans="1:46" ht="61.5" x14ac:dyDescent="0.85">
      <c r="B751" s="24" t="s">
        <v>803</v>
      </c>
      <c r="C751" s="24"/>
      <c r="D751" s="31">
        <f>SUM(D752:D771)</f>
        <v>43029746.93</v>
      </c>
      <c r="E751" s="31">
        <f t="shared" ref="E751:AE751" si="273">SUM(E752:E771)</f>
        <v>0</v>
      </c>
      <c r="F751" s="31">
        <f t="shared" si="273"/>
        <v>0</v>
      </c>
      <c r="G751" s="31">
        <f t="shared" si="273"/>
        <v>0</v>
      </c>
      <c r="H751" s="31">
        <f t="shared" si="273"/>
        <v>0</v>
      </c>
      <c r="I751" s="31">
        <f t="shared" si="273"/>
        <v>0</v>
      </c>
      <c r="J751" s="31">
        <f t="shared" si="273"/>
        <v>0</v>
      </c>
      <c r="K751" s="33">
        <f t="shared" si="273"/>
        <v>12</v>
      </c>
      <c r="L751" s="31">
        <f t="shared" si="273"/>
        <v>25273073.890000001</v>
      </c>
      <c r="M751" s="31">
        <f t="shared" si="273"/>
        <v>3212</v>
      </c>
      <c r="N751" s="31">
        <f t="shared" si="273"/>
        <v>15218397.07</v>
      </c>
      <c r="O751" s="31">
        <f t="shared" si="273"/>
        <v>0</v>
      </c>
      <c r="P751" s="31">
        <f t="shared" si="273"/>
        <v>0</v>
      </c>
      <c r="Q751" s="31">
        <f t="shared" si="273"/>
        <v>0</v>
      </c>
      <c r="R751" s="31">
        <f t="shared" si="273"/>
        <v>0</v>
      </c>
      <c r="S751" s="31">
        <f t="shared" si="273"/>
        <v>0</v>
      </c>
      <c r="T751" s="31">
        <f t="shared" si="273"/>
        <v>0</v>
      </c>
      <c r="U751" s="31">
        <f t="shared" si="273"/>
        <v>0</v>
      </c>
      <c r="V751" s="31">
        <f t="shared" si="273"/>
        <v>0</v>
      </c>
      <c r="W751" s="31">
        <f t="shared" si="273"/>
        <v>0</v>
      </c>
      <c r="X751" s="31">
        <f t="shared" si="273"/>
        <v>0</v>
      </c>
      <c r="Y751" s="31">
        <f t="shared" si="273"/>
        <v>0</v>
      </c>
      <c r="Z751" s="31">
        <f t="shared" si="273"/>
        <v>0</v>
      </c>
      <c r="AA751" s="31">
        <f t="shared" si="273"/>
        <v>0</v>
      </c>
      <c r="AB751" s="31">
        <f t="shared" si="273"/>
        <v>0</v>
      </c>
      <c r="AC751" s="31">
        <f t="shared" si="273"/>
        <v>228275.97</v>
      </c>
      <c r="AD751" s="31">
        <f t="shared" si="273"/>
        <v>2310000</v>
      </c>
      <c r="AE751" s="31">
        <f t="shared" si="273"/>
        <v>0</v>
      </c>
      <c r="AF751" s="72" t="s">
        <v>794</v>
      </c>
      <c r="AG751" s="72" t="s">
        <v>794</v>
      </c>
      <c r="AH751" s="91" t="s">
        <v>794</v>
      </c>
      <c r="AT751" s="20" t="e">
        <f t="shared" ref="AT751:AT759" si="274">VLOOKUP(C751,AW:AX,2,FALSE)</f>
        <v>#N/A</v>
      </c>
    </row>
    <row r="752" spans="1:46" ht="61.5" x14ac:dyDescent="0.85">
      <c r="A752" s="20">
        <v>1</v>
      </c>
      <c r="B752" s="66">
        <f>SUBTOTAL(103,$A$567:A752)</f>
        <v>183</v>
      </c>
      <c r="C752" s="24" t="s">
        <v>816</v>
      </c>
      <c r="D752" s="31">
        <f t="shared" ref="D752:D771" si="275">E752+F752+G752+H752+I752+J752+L752+N752+P752+R752+T752+U752+V752+W752+X752+Y752+Z752+AA752+AB752+AC752+AD752+AE752</f>
        <v>3593042</v>
      </c>
      <c r="E752" s="31">
        <v>0</v>
      </c>
      <c r="F752" s="31">
        <v>0</v>
      </c>
      <c r="G752" s="31">
        <v>0</v>
      </c>
      <c r="H752" s="31">
        <v>0</v>
      </c>
      <c r="I752" s="31">
        <v>0</v>
      </c>
      <c r="J752" s="31">
        <v>0</v>
      </c>
      <c r="K752" s="33">
        <v>0</v>
      </c>
      <c r="L752" s="31">
        <v>0</v>
      </c>
      <c r="M752" s="31">
        <v>690</v>
      </c>
      <c r="N752" s="31">
        <v>3431568.47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31">
        <v>0</v>
      </c>
      <c r="W752" s="31">
        <v>0</v>
      </c>
      <c r="X752" s="31">
        <v>0</v>
      </c>
      <c r="Y752" s="31">
        <v>0</v>
      </c>
      <c r="Z752" s="31">
        <v>0</v>
      </c>
      <c r="AA752" s="31">
        <v>0</v>
      </c>
      <c r="AB752" s="31">
        <v>0</v>
      </c>
      <c r="AC752" s="31">
        <f>ROUND(N752*1.5%,2)</f>
        <v>51473.53</v>
      </c>
      <c r="AD752" s="31">
        <v>110000</v>
      </c>
      <c r="AE752" s="31">
        <v>0</v>
      </c>
      <c r="AF752" s="34">
        <v>2021</v>
      </c>
      <c r="AG752" s="34">
        <v>2021</v>
      </c>
      <c r="AH752" s="35">
        <v>2021</v>
      </c>
      <c r="AT752" s="20" t="e">
        <f t="shared" si="274"/>
        <v>#N/A</v>
      </c>
    </row>
    <row r="753" spans="1:46" ht="61.5" x14ac:dyDescent="0.85">
      <c r="A753" s="20">
        <v>1</v>
      </c>
      <c r="B753" s="66">
        <f>SUBTOTAL(103,$A$567:A753)</f>
        <v>184</v>
      </c>
      <c r="C753" s="24" t="s">
        <v>817</v>
      </c>
      <c r="D753" s="31">
        <f t="shared" si="275"/>
        <v>6429744.8300000001</v>
      </c>
      <c r="E753" s="31">
        <v>0</v>
      </c>
      <c r="F753" s="31">
        <v>0</v>
      </c>
      <c r="G753" s="31">
        <v>0</v>
      </c>
      <c r="H753" s="31">
        <v>0</v>
      </c>
      <c r="I753" s="31">
        <v>0</v>
      </c>
      <c r="J753" s="31">
        <v>0</v>
      </c>
      <c r="K753" s="33">
        <v>3</v>
      </c>
      <c r="L753" s="31">
        <v>6329744.8300000001</v>
      </c>
      <c r="M753" s="31">
        <v>0</v>
      </c>
      <c r="N753" s="31">
        <v>0</v>
      </c>
      <c r="O753" s="31">
        <v>0</v>
      </c>
      <c r="P753" s="31">
        <v>0</v>
      </c>
      <c r="Q753" s="31">
        <v>0</v>
      </c>
      <c r="R753" s="31">
        <v>0</v>
      </c>
      <c r="S753" s="31">
        <v>0</v>
      </c>
      <c r="T753" s="31">
        <v>0</v>
      </c>
      <c r="U753" s="31">
        <v>0</v>
      </c>
      <c r="V753" s="31">
        <v>0</v>
      </c>
      <c r="W753" s="31">
        <v>0</v>
      </c>
      <c r="X753" s="31">
        <v>0</v>
      </c>
      <c r="Y753" s="31">
        <v>0</v>
      </c>
      <c r="Z753" s="31">
        <v>0</v>
      </c>
      <c r="AA753" s="31">
        <v>0</v>
      </c>
      <c r="AB753" s="31">
        <v>0</v>
      </c>
      <c r="AC753" s="31">
        <v>0</v>
      </c>
      <c r="AD753" s="31">
        <v>100000</v>
      </c>
      <c r="AE753" s="31">
        <v>0</v>
      </c>
      <c r="AF753" s="34">
        <v>2021</v>
      </c>
      <c r="AG753" s="34">
        <v>2021</v>
      </c>
      <c r="AH753" s="35" t="s">
        <v>274</v>
      </c>
      <c r="AT753" s="20" t="e">
        <f t="shared" si="274"/>
        <v>#N/A</v>
      </c>
    </row>
    <row r="754" spans="1:46" ht="61.5" x14ac:dyDescent="0.85">
      <c r="A754" s="20">
        <v>1</v>
      </c>
      <c r="B754" s="66">
        <f>SUBTOTAL(103,$A$567:A754)</f>
        <v>185</v>
      </c>
      <c r="C754" s="24" t="s">
        <v>818</v>
      </c>
      <c r="D754" s="31">
        <f t="shared" si="275"/>
        <v>8572796.0600000005</v>
      </c>
      <c r="E754" s="31">
        <v>0</v>
      </c>
      <c r="F754" s="31">
        <v>0</v>
      </c>
      <c r="G754" s="31">
        <v>0</v>
      </c>
      <c r="H754" s="31">
        <v>0</v>
      </c>
      <c r="I754" s="31">
        <v>0</v>
      </c>
      <c r="J754" s="31">
        <v>0</v>
      </c>
      <c r="K754" s="33">
        <v>4</v>
      </c>
      <c r="L754" s="31">
        <v>8452796.0600000005</v>
      </c>
      <c r="M754" s="31">
        <v>0</v>
      </c>
      <c r="N754" s="31">
        <v>0</v>
      </c>
      <c r="O754" s="31">
        <v>0</v>
      </c>
      <c r="P754" s="31">
        <v>0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1">
        <v>0</v>
      </c>
      <c r="Y754" s="31">
        <v>0</v>
      </c>
      <c r="Z754" s="31">
        <v>0</v>
      </c>
      <c r="AA754" s="31">
        <v>0</v>
      </c>
      <c r="AB754" s="31">
        <v>0</v>
      </c>
      <c r="AC754" s="31">
        <v>0</v>
      </c>
      <c r="AD754" s="31">
        <v>120000</v>
      </c>
      <c r="AE754" s="31">
        <v>0</v>
      </c>
      <c r="AF754" s="34">
        <v>2021</v>
      </c>
      <c r="AG754" s="34">
        <v>2021</v>
      </c>
      <c r="AH754" s="35" t="s">
        <v>274</v>
      </c>
      <c r="AT754" s="20" t="e">
        <f t="shared" si="274"/>
        <v>#N/A</v>
      </c>
    </row>
    <row r="755" spans="1:46" ht="61.5" x14ac:dyDescent="0.85">
      <c r="A755" s="20">
        <v>1</v>
      </c>
      <c r="B755" s="66">
        <f>SUBTOTAL(103,$A$567:A755)</f>
        <v>186</v>
      </c>
      <c r="C755" s="24" t="s">
        <v>1143</v>
      </c>
      <c r="D755" s="31">
        <f t="shared" si="275"/>
        <v>2932000</v>
      </c>
      <c r="E755" s="31">
        <v>0</v>
      </c>
      <c r="F755" s="31">
        <v>0</v>
      </c>
      <c r="G755" s="31">
        <v>0</v>
      </c>
      <c r="H755" s="31">
        <v>0</v>
      </c>
      <c r="I755" s="31">
        <v>0</v>
      </c>
      <c r="J755" s="31">
        <v>0</v>
      </c>
      <c r="K755" s="33">
        <v>0</v>
      </c>
      <c r="L755" s="31">
        <v>0</v>
      </c>
      <c r="M755" s="31">
        <v>590</v>
      </c>
      <c r="N755" s="31">
        <v>2790147.78</v>
      </c>
      <c r="O755" s="31">
        <v>0</v>
      </c>
      <c r="P755" s="31">
        <v>0</v>
      </c>
      <c r="Q755" s="31">
        <v>0</v>
      </c>
      <c r="R755" s="31">
        <v>0</v>
      </c>
      <c r="S755" s="31">
        <v>0</v>
      </c>
      <c r="T755" s="31">
        <v>0</v>
      </c>
      <c r="U755" s="31">
        <v>0</v>
      </c>
      <c r="V755" s="31">
        <v>0</v>
      </c>
      <c r="W755" s="31">
        <v>0</v>
      </c>
      <c r="X755" s="31">
        <v>0</v>
      </c>
      <c r="Y755" s="31">
        <v>0</v>
      </c>
      <c r="Z755" s="31">
        <v>0</v>
      </c>
      <c r="AA755" s="31">
        <v>0</v>
      </c>
      <c r="AB755" s="31">
        <v>0</v>
      </c>
      <c r="AC755" s="31">
        <f>ROUND(N755*1.5%,2)</f>
        <v>41852.22</v>
      </c>
      <c r="AD755" s="31">
        <v>100000</v>
      </c>
      <c r="AE755" s="31">
        <v>0</v>
      </c>
      <c r="AF755" s="34">
        <v>2021</v>
      </c>
      <c r="AG755" s="34">
        <v>2021</v>
      </c>
      <c r="AH755" s="35">
        <v>2021</v>
      </c>
      <c r="AT755" s="20" t="e">
        <f t="shared" si="274"/>
        <v>#N/A</v>
      </c>
    </row>
    <row r="756" spans="1:46" ht="61.5" x14ac:dyDescent="0.85">
      <c r="A756" s="20">
        <v>1</v>
      </c>
      <c r="B756" s="66">
        <f>SUBTOTAL(103,$A$567:A756)</f>
        <v>187</v>
      </c>
      <c r="C756" s="24" t="s">
        <v>820</v>
      </c>
      <c r="D756" s="31">
        <f t="shared" si="275"/>
        <v>4286989.16</v>
      </c>
      <c r="E756" s="31">
        <v>0</v>
      </c>
      <c r="F756" s="31">
        <v>0</v>
      </c>
      <c r="G756" s="31">
        <v>0</v>
      </c>
      <c r="H756" s="31">
        <v>0</v>
      </c>
      <c r="I756" s="31">
        <v>0</v>
      </c>
      <c r="J756" s="31">
        <v>0</v>
      </c>
      <c r="K756" s="33">
        <v>2</v>
      </c>
      <c r="L756" s="31">
        <v>4186989.16</v>
      </c>
      <c r="M756" s="31">
        <v>0</v>
      </c>
      <c r="N756" s="31">
        <v>0</v>
      </c>
      <c r="O756" s="31">
        <v>0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  <c r="V756" s="31">
        <v>0</v>
      </c>
      <c r="W756" s="31">
        <v>0</v>
      </c>
      <c r="X756" s="31">
        <v>0</v>
      </c>
      <c r="Y756" s="31">
        <v>0</v>
      </c>
      <c r="Z756" s="31">
        <v>0</v>
      </c>
      <c r="AA756" s="31">
        <v>0</v>
      </c>
      <c r="AB756" s="31">
        <v>0</v>
      </c>
      <c r="AC756" s="31">
        <v>0</v>
      </c>
      <c r="AD756" s="31">
        <v>100000</v>
      </c>
      <c r="AE756" s="31">
        <v>0</v>
      </c>
      <c r="AF756" s="34">
        <v>2021</v>
      </c>
      <c r="AG756" s="34">
        <v>2021</v>
      </c>
      <c r="AH756" s="35" t="s">
        <v>274</v>
      </c>
      <c r="AT756" s="20" t="e">
        <f t="shared" si="274"/>
        <v>#N/A</v>
      </c>
    </row>
    <row r="757" spans="1:46" ht="61.5" x14ac:dyDescent="0.85">
      <c r="A757" s="20">
        <v>1</v>
      </c>
      <c r="B757" s="66">
        <f>SUBTOTAL(103,$A$567:A757)</f>
        <v>188</v>
      </c>
      <c r="C757" s="24" t="s">
        <v>821</v>
      </c>
      <c r="D757" s="31">
        <f t="shared" si="275"/>
        <v>5501631.04</v>
      </c>
      <c r="E757" s="31">
        <v>0</v>
      </c>
      <c r="F757" s="31">
        <v>0</v>
      </c>
      <c r="G757" s="31">
        <v>0</v>
      </c>
      <c r="H757" s="31">
        <v>0</v>
      </c>
      <c r="I757" s="31">
        <v>0</v>
      </c>
      <c r="J757" s="31">
        <v>0</v>
      </c>
      <c r="K757" s="33">
        <v>0</v>
      </c>
      <c r="L757" s="31">
        <v>0</v>
      </c>
      <c r="M757" s="31">
        <v>1154</v>
      </c>
      <c r="N757" s="31">
        <f>5798972.61-516577.5</f>
        <v>5282395.1100000003</v>
      </c>
      <c r="O757" s="31">
        <v>0</v>
      </c>
      <c r="P757" s="31">
        <v>0</v>
      </c>
      <c r="Q757" s="31">
        <v>0</v>
      </c>
      <c r="R757" s="31">
        <v>0</v>
      </c>
      <c r="S757" s="31">
        <v>0</v>
      </c>
      <c r="T757" s="31">
        <v>0</v>
      </c>
      <c r="U757" s="31">
        <v>0</v>
      </c>
      <c r="V757" s="31">
        <v>0</v>
      </c>
      <c r="W757" s="31">
        <v>0</v>
      </c>
      <c r="X757" s="31">
        <v>0</v>
      </c>
      <c r="Y757" s="31">
        <v>0</v>
      </c>
      <c r="Z757" s="31">
        <v>0</v>
      </c>
      <c r="AA757" s="31">
        <v>0</v>
      </c>
      <c r="AB757" s="31">
        <v>0</v>
      </c>
      <c r="AC757" s="31">
        <f>ROUND(N757*1.5%,2)</f>
        <v>79235.929999999993</v>
      </c>
      <c r="AD757" s="31">
        <v>140000</v>
      </c>
      <c r="AE757" s="31">
        <v>0</v>
      </c>
      <c r="AF757" s="34">
        <v>2021</v>
      </c>
      <c r="AG757" s="34">
        <v>2021</v>
      </c>
      <c r="AH757" s="35">
        <v>2021</v>
      </c>
      <c r="AT757" s="20" t="e">
        <f t="shared" si="274"/>
        <v>#N/A</v>
      </c>
    </row>
    <row r="758" spans="1:46" ht="61.5" x14ac:dyDescent="0.85">
      <c r="A758" s="20">
        <v>1</v>
      </c>
      <c r="B758" s="66">
        <f>SUBTOTAL(103,$A$567:A758)</f>
        <v>189</v>
      </c>
      <c r="C758" s="24" t="s">
        <v>822</v>
      </c>
      <c r="D758" s="31">
        <f t="shared" si="275"/>
        <v>4286989.16</v>
      </c>
      <c r="E758" s="31">
        <v>0</v>
      </c>
      <c r="F758" s="31">
        <v>0</v>
      </c>
      <c r="G758" s="31">
        <v>0</v>
      </c>
      <c r="H758" s="31">
        <v>0</v>
      </c>
      <c r="I758" s="31">
        <v>0</v>
      </c>
      <c r="J758" s="31">
        <v>0</v>
      </c>
      <c r="K758" s="33">
        <v>2</v>
      </c>
      <c r="L758" s="31">
        <v>4186989.16</v>
      </c>
      <c r="M758" s="31">
        <v>0</v>
      </c>
      <c r="N758" s="31">
        <v>0</v>
      </c>
      <c r="O758" s="31">
        <v>0</v>
      </c>
      <c r="P758" s="31">
        <v>0</v>
      </c>
      <c r="Q758" s="31">
        <v>0</v>
      </c>
      <c r="R758" s="31">
        <v>0</v>
      </c>
      <c r="S758" s="31">
        <v>0</v>
      </c>
      <c r="T758" s="31">
        <v>0</v>
      </c>
      <c r="U758" s="31">
        <v>0</v>
      </c>
      <c r="V758" s="31">
        <v>0</v>
      </c>
      <c r="W758" s="31">
        <v>0</v>
      </c>
      <c r="X758" s="31">
        <v>0</v>
      </c>
      <c r="Y758" s="31">
        <v>0</v>
      </c>
      <c r="Z758" s="31">
        <v>0</v>
      </c>
      <c r="AA758" s="31">
        <v>0</v>
      </c>
      <c r="AB758" s="31">
        <v>0</v>
      </c>
      <c r="AC758" s="31">
        <v>0</v>
      </c>
      <c r="AD758" s="31">
        <v>100000</v>
      </c>
      <c r="AE758" s="31">
        <v>0</v>
      </c>
      <c r="AF758" s="34">
        <v>2021</v>
      </c>
      <c r="AG758" s="34">
        <v>2021</v>
      </c>
      <c r="AH758" s="35" t="s">
        <v>274</v>
      </c>
      <c r="AT758" s="20" t="e">
        <f t="shared" si="274"/>
        <v>#N/A</v>
      </c>
    </row>
    <row r="759" spans="1:46" ht="61.5" x14ac:dyDescent="0.85">
      <c r="A759" s="20">
        <v>1</v>
      </c>
      <c r="B759" s="66">
        <f>SUBTOTAL(103,$A$567:A759)</f>
        <v>190</v>
      </c>
      <c r="C759" s="24" t="s">
        <v>823</v>
      </c>
      <c r="D759" s="31">
        <f t="shared" si="275"/>
        <v>2216554.6800000002</v>
      </c>
      <c r="E759" s="31">
        <v>0</v>
      </c>
      <c r="F759" s="31">
        <v>0</v>
      </c>
      <c r="G759" s="31">
        <v>0</v>
      </c>
      <c r="H759" s="31">
        <v>0</v>
      </c>
      <c r="I759" s="31">
        <v>0</v>
      </c>
      <c r="J759" s="31">
        <v>0</v>
      </c>
      <c r="K759" s="33">
        <v>1</v>
      </c>
      <c r="L759" s="31">
        <v>2116554.6800000002</v>
      </c>
      <c r="M759" s="31">
        <v>0</v>
      </c>
      <c r="N759" s="31">
        <v>0</v>
      </c>
      <c r="O759" s="31">
        <v>0</v>
      </c>
      <c r="P759" s="31">
        <v>0</v>
      </c>
      <c r="Q759" s="31">
        <v>0</v>
      </c>
      <c r="R759" s="31">
        <v>0</v>
      </c>
      <c r="S759" s="31">
        <v>0</v>
      </c>
      <c r="T759" s="31">
        <v>0</v>
      </c>
      <c r="U759" s="31">
        <v>0</v>
      </c>
      <c r="V759" s="31">
        <v>0</v>
      </c>
      <c r="W759" s="31">
        <v>0</v>
      </c>
      <c r="X759" s="31">
        <v>0</v>
      </c>
      <c r="Y759" s="31">
        <v>0</v>
      </c>
      <c r="Z759" s="31">
        <v>0</v>
      </c>
      <c r="AA759" s="31">
        <v>0</v>
      </c>
      <c r="AB759" s="31">
        <v>0</v>
      </c>
      <c r="AC759" s="31">
        <v>0</v>
      </c>
      <c r="AD759" s="31">
        <v>100000</v>
      </c>
      <c r="AE759" s="31">
        <v>0</v>
      </c>
      <c r="AF759" s="34">
        <v>2021</v>
      </c>
      <c r="AG759" s="34">
        <v>2021</v>
      </c>
      <c r="AH759" s="35" t="s">
        <v>274</v>
      </c>
      <c r="AT759" s="20" t="e">
        <f t="shared" si="274"/>
        <v>#N/A</v>
      </c>
    </row>
    <row r="760" spans="1:46" ht="61.5" x14ac:dyDescent="0.85">
      <c r="A760" s="20">
        <v>1</v>
      </c>
      <c r="B760" s="66">
        <f>SUBTOTAL(103,$A$567:A760)</f>
        <v>191</v>
      </c>
      <c r="C760" s="24" t="s">
        <v>1702</v>
      </c>
      <c r="D760" s="31">
        <f t="shared" si="275"/>
        <v>3890000</v>
      </c>
      <c r="E760" s="31">
        <v>0</v>
      </c>
      <c r="F760" s="31">
        <v>0</v>
      </c>
      <c r="G760" s="31">
        <v>0</v>
      </c>
      <c r="H760" s="31">
        <v>0</v>
      </c>
      <c r="I760" s="31">
        <v>0</v>
      </c>
      <c r="J760" s="31">
        <v>0</v>
      </c>
      <c r="K760" s="33">
        <v>0</v>
      </c>
      <c r="L760" s="31">
        <v>0</v>
      </c>
      <c r="M760" s="31">
        <v>778</v>
      </c>
      <c r="N760" s="31">
        <v>3714285.71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  <c r="V760" s="31">
        <v>0</v>
      </c>
      <c r="W760" s="31">
        <v>0</v>
      </c>
      <c r="X760" s="31">
        <v>0</v>
      </c>
      <c r="Y760" s="31">
        <v>0</v>
      </c>
      <c r="Z760" s="31">
        <v>0</v>
      </c>
      <c r="AA760" s="31">
        <v>0</v>
      </c>
      <c r="AB760" s="31">
        <v>0</v>
      </c>
      <c r="AC760" s="31">
        <f>ROUND(N760*1.5%,2)</f>
        <v>55714.29</v>
      </c>
      <c r="AD760" s="31">
        <v>120000</v>
      </c>
      <c r="AE760" s="31">
        <v>0</v>
      </c>
      <c r="AF760" s="34">
        <v>2021</v>
      </c>
      <c r="AG760" s="34">
        <v>2021</v>
      </c>
      <c r="AH760" s="35">
        <v>2021</v>
      </c>
    </row>
    <row r="761" spans="1:46" ht="61.5" x14ac:dyDescent="0.85">
      <c r="A761" s="20">
        <v>1</v>
      </c>
      <c r="B761" s="66">
        <f>SUBTOTAL(103,$A$567:A761)</f>
        <v>192</v>
      </c>
      <c r="C761" s="24" t="s">
        <v>825</v>
      </c>
      <c r="D761" s="31">
        <f t="shared" si="275"/>
        <v>110000</v>
      </c>
      <c r="E761" s="31">
        <v>0</v>
      </c>
      <c r="F761" s="31">
        <v>0</v>
      </c>
      <c r="G761" s="31">
        <v>0</v>
      </c>
      <c r="H761" s="31">
        <v>0</v>
      </c>
      <c r="I761" s="31">
        <v>0</v>
      </c>
      <c r="J761" s="31">
        <v>0</v>
      </c>
      <c r="K761" s="33">
        <v>0</v>
      </c>
      <c r="L761" s="31">
        <v>0</v>
      </c>
      <c r="M761" s="31">
        <v>0</v>
      </c>
      <c r="N761" s="31">
        <v>0</v>
      </c>
      <c r="O761" s="31">
        <v>0</v>
      </c>
      <c r="P761" s="31">
        <v>0</v>
      </c>
      <c r="Q761" s="31">
        <v>0</v>
      </c>
      <c r="R761" s="31">
        <v>0</v>
      </c>
      <c r="S761" s="31">
        <v>0</v>
      </c>
      <c r="T761" s="31">
        <v>0</v>
      </c>
      <c r="U761" s="31">
        <v>0</v>
      </c>
      <c r="V761" s="31">
        <v>0</v>
      </c>
      <c r="W761" s="31">
        <v>0</v>
      </c>
      <c r="X761" s="31">
        <v>0</v>
      </c>
      <c r="Y761" s="31">
        <v>0</v>
      </c>
      <c r="Z761" s="31">
        <v>0</v>
      </c>
      <c r="AA761" s="31">
        <v>0</v>
      </c>
      <c r="AB761" s="31">
        <v>0</v>
      </c>
      <c r="AC761" s="31">
        <v>0</v>
      </c>
      <c r="AD761" s="31">
        <v>110000</v>
      </c>
      <c r="AE761" s="31">
        <v>0</v>
      </c>
      <c r="AF761" s="34">
        <v>2021</v>
      </c>
      <c r="AG761" s="34" t="s">
        <v>274</v>
      </c>
      <c r="AH761" s="35" t="s">
        <v>274</v>
      </c>
    </row>
    <row r="762" spans="1:46" ht="61.5" x14ac:dyDescent="0.85">
      <c r="A762" s="20">
        <v>1</v>
      </c>
      <c r="B762" s="66">
        <f>SUBTOTAL(103,$A$567:A762)</f>
        <v>193</v>
      </c>
      <c r="C762" s="24" t="s">
        <v>826</v>
      </c>
      <c r="D762" s="31">
        <f t="shared" si="275"/>
        <v>110000</v>
      </c>
      <c r="E762" s="31">
        <v>0</v>
      </c>
      <c r="F762" s="31">
        <v>0</v>
      </c>
      <c r="G762" s="31">
        <v>0</v>
      </c>
      <c r="H762" s="31">
        <v>0</v>
      </c>
      <c r="I762" s="31">
        <v>0</v>
      </c>
      <c r="J762" s="31">
        <v>0</v>
      </c>
      <c r="K762" s="33">
        <v>0</v>
      </c>
      <c r="L762" s="31">
        <v>0</v>
      </c>
      <c r="M762" s="31">
        <v>0</v>
      </c>
      <c r="N762" s="31">
        <v>0</v>
      </c>
      <c r="O762" s="31">
        <v>0</v>
      </c>
      <c r="P762" s="31">
        <v>0</v>
      </c>
      <c r="Q762" s="31">
        <v>0</v>
      </c>
      <c r="R762" s="31">
        <v>0</v>
      </c>
      <c r="S762" s="31">
        <v>0</v>
      </c>
      <c r="T762" s="31">
        <v>0</v>
      </c>
      <c r="U762" s="31">
        <v>0</v>
      </c>
      <c r="V762" s="31">
        <v>0</v>
      </c>
      <c r="W762" s="31">
        <v>0</v>
      </c>
      <c r="X762" s="31">
        <v>0</v>
      </c>
      <c r="Y762" s="31">
        <v>0</v>
      </c>
      <c r="Z762" s="31">
        <v>0</v>
      </c>
      <c r="AA762" s="31">
        <v>0</v>
      </c>
      <c r="AB762" s="31">
        <v>0</v>
      </c>
      <c r="AC762" s="31">
        <v>0</v>
      </c>
      <c r="AD762" s="31">
        <v>110000</v>
      </c>
      <c r="AE762" s="31">
        <v>0</v>
      </c>
      <c r="AF762" s="34">
        <v>2021</v>
      </c>
      <c r="AG762" s="34" t="s">
        <v>274</v>
      </c>
      <c r="AH762" s="35" t="s">
        <v>274</v>
      </c>
    </row>
    <row r="763" spans="1:46" ht="61.5" x14ac:dyDescent="0.85">
      <c r="A763" s="20">
        <v>1</v>
      </c>
      <c r="B763" s="66">
        <f>SUBTOTAL(103,$A$567:A763)</f>
        <v>194</v>
      </c>
      <c r="C763" s="24" t="s">
        <v>1144</v>
      </c>
      <c r="D763" s="31">
        <f t="shared" si="275"/>
        <v>110000</v>
      </c>
      <c r="E763" s="31">
        <v>0</v>
      </c>
      <c r="F763" s="31">
        <v>0</v>
      </c>
      <c r="G763" s="31">
        <v>0</v>
      </c>
      <c r="H763" s="31">
        <v>0</v>
      </c>
      <c r="I763" s="31">
        <v>0</v>
      </c>
      <c r="J763" s="31">
        <v>0</v>
      </c>
      <c r="K763" s="33">
        <v>0</v>
      </c>
      <c r="L763" s="31">
        <v>0</v>
      </c>
      <c r="M763" s="31">
        <v>0</v>
      </c>
      <c r="N763" s="31">
        <v>0</v>
      </c>
      <c r="O763" s="31">
        <v>0</v>
      </c>
      <c r="P763" s="31">
        <v>0</v>
      </c>
      <c r="Q763" s="31">
        <v>0</v>
      </c>
      <c r="R763" s="31">
        <v>0</v>
      </c>
      <c r="S763" s="31">
        <v>0</v>
      </c>
      <c r="T763" s="31">
        <v>0</v>
      </c>
      <c r="U763" s="31">
        <v>0</v>
      </c>
      <c r="V763" s="31">
        <v>0</v>
      </c>
      <c r="W763" s="31">
        <v>0</v>
      </c>
      <c r="X763" s="31">
        <v>0</v>
      </c>
      <c r="Y763" s="31">
        <v>0</v>
      </c>
      <c r="Z763" s="31">
        <v>0</v>
      </c>
      <c r="AA763" s="31">
        <v>0</v>
      </c>
      <c r="AB763" s="31">
        <v>0</v>
      </c>
      <c r="AC763" s="31">
        <v>0</v>
      </c>
      <c r="AD763" s="31">
        <v>110000</v>
      </c>
      <c r="AE763" s="31">
        <v>0</v>
      </c>
      <c r="AF763" s="34">
        <v>2021</v>
      </c>
      <c r="AG763" s="34" t="s">
        <v>274</v>
      </c>
      <c r="AH763" s="35" t="s">
        <v>274</v>
      </c>
    </row>
    <row r="764" spans="1:46" ht="61.5" x14ac:dyDescent="0.85">
      <c r="A764" s="20">
        <v>1</v>
      </c>
      <c r="B764" s="66">
        <f>SUBTOTAL(103,$A$567:A764)</f>
        <v>195</v>
      </c>
      <c r="C764" s="24" t="s">
        <v>828</v>
      </c>
      <c r="D764" s="31">
        <f t="shared" si="275"/>
        <v>120000</v>
      </c>
      <c r="E764" s="31">
        <v>0</v>
      </c>
      <c r="F764" s="31">
        <v>0</v>
      </c>
      <c r="G764" s="31">
        <v>0</v>
      </c>
      <c r="H764" s="31">
        <v>0</v>
      </c>
      <c r="I764" s="31">
        <v>0</v>
      </c>
      <c r="J764" s="31">
        <v>0</v>
      </c>
      <c r="K764" s="33">
        <v>0</v>
      </c>
      <c r="L764" s="31">
        <v>0</v>
      </c>
      <c r="M764" s="31">
        <v>0</v>
      </c>
      <c r="N764" s="31">
        <v>0</v>
      </c>
      <c r="O764" s="31">
        <v>0</v>
      </c>
      <c r="P764" s="31">
        <v>0</v>
      </c>
      <c r="Q764" s="31">
        <v>0</v>
      </c>
      <c r="R764" s="31">
        <v>0</v>
      </c>
      <c r="S764" s="31">
        <v>0</v>
      </c>
      <c r="T764" s="31">
        <v>0</v>
      </c>
      <c r="U764" s="31">
        <v>0</v>
      </c>
      <c r="V764" s="31">
        <v>0</v>
      </c>
      <c r="W764" s="31">
        <v>0</v>
      </c>
      <c r="X764" s="31">
        <v>0</v>
      </c>
      <c r="Y764" s="31">
        <v>0</v>
      </c>
      <c r="Z764" s="31">
        <v>0</v>
      </c>
      <c r="AA764" s="31">
        <v>0</v>
      </c>
      <c r="AB764" s="31">
        <v>0</v>
      </c>
      <c r="AC764" s="31">
        <v>0</v>
      </c>
      <c r="AD764" s="31">
        <v>120000</v>
      </c>
      <c r="AE764" s="31">
        <v>0</v>
      </c>
      <c r="AF764" s="34">
        <v>2021</v>
      </c>
      <c r="AG764" s="34" t="s">
        <v>274</v>
      </c>
      <c r="AH764" s="35" t="s">
        <v>274</v>
      </c>
    </row>
    <row r="765" spans="1:46" ht="61.5" x14ac:dyDescent="0.85">
      <c r="A765" s="20">
        <v>1</v>
      </c>
      <c r="B765" s="66">
        <f>SUBTOTAL(103,$A$567:A765)</f>
        <v>196</v>
      </c>
      <c r="C765" s="24" t="s">
        <v>830</v>
      </c>
      <c r="D765" s="31">
        <f t="shared" si="275"/>
        <v>140000</v>
      </c>
      <c r="E765" s="31">
        <v>0</v>
      </c>
      <c r="F765" s="31">
        <v>0</v>
      </c>
      <c r="G765" s="31">
        <v>0</v>
      </c>
      <c r="H765" s="31">
        <v>0</v>
      </c>
      <c r="I765" s="31">
        <v>0</v>
      </c>
      <c r="J765" s="31">
        <v>0</v>
      </c>
      <c r="K765" s="33">
        <v>0</v>
      </c>
      <c r="L765" s="31">
        <v>0</v>
      </c>
      <c r="M765" s="31">
        <v>0</v>
      </c>
      <c r="N765" s="31">
        <v>0</v>
      </c>
      <c r="O765" s="31">
        <v>0</v>
      </c>
      <c r="P765" s="31">
        <v>0</v>
      </c>
      <c r="Q765" s="31">
        <v>0</v>
      </c>
      <c r="R765" s="31">
        <v>0</v>
      </c>
      <c r="S765" s="31">
        <v>0</v>
      </c>
      <c r="T765" s="31">
        <v>0</v>
      </c>
      <c r="U765" s="31">
        <v>0</v>
      </c>
      <c r="V765" s="31">
        <v>0</v>
      </c>
      <c r="W765" s="31">
        <v>0</v>
      </c>
      <c r="X765" s="31">
        <v>0</v>
      </c>
      <c r="Y765" s="31">
        <v>0</v>
      </c>
      <c r="Z765" s="31">
        <v>0</v>
      </c>
      <c r="AA765" s="31">
        <v>0</v>
      </c>
      <c r="AB765" s="31">
        <v>0</v>
      </c>
      <c r="AC765" s="31">
        <v>0</v>
      </c>
      <c r="AD765" s="31">
        <v>140000</v>
      </c>
      <c r="AE765" s="31">
        <v>0</v>
      </c>
      <c r="AF765" s="34">
        <v>2021</v>
      </c>
      <c r="AG765" s="34" t="s">
        <v>274</v>
      </c>
      <c r="AH765" s="35" t="s">
        <v>274</v>
      </c>
    </row>
    <row r="766" spans="1:46" ht="61.5" x14ac:dyDescent="0.85">
      <c r="A766" s="20">
        <v>1</v>
      </c>
      <c r="B766" s="66">
        <f>SUBTOTAL(103,$A$567:A766)</f>
        <v>197</v>
      </c>
      <c r="C766" s="24" t="s">
        <v>831</v>
      </c>
      <c r="D766" s="31">
        <f t="shared" si="275"/>
        <v>110000</v>
      </c>
      <c r="E766" s="31">
        <v>0</v>
      </c>
      <c r="F766" s="31">
        <v>0</v>
      </c>
      <c r="G766" s="31">
        <v>0</v>
      </c>
      <c r="H766" s="31">
        <v>0</v>
      </c>
      <c r="I766" s="31">
        <v>0</v>
      </c>
      <c r="J766" s="31">
        <v>0</v>
      </c>
      <c r="K766" s="33">
        <v>0</v>
      </c>
      <c r="L766" s="31">
        <v>0</v>
      </c>
      <c r="M766" s="31">
        <v>0</v>
      </c>
      <c r="N766" s="31">
        <v>0</v>
      </c>
      <c r="O766" s="31">
        <v>0</v>
      </c>
      <c r="P766" s="31">
        <v>0</v>
      </c>
      <c r="Q766" s="31">
        <v>0</v>
      </c>
      <c r="R766" s="31">
        <v>0</v>
      </c>
      <c r="S766" s="31">
        <v>0</v>
      </c>
      <c r="T766" s="31">
        <v>0</v>
      </c>
      <c r="U766" s="31">
        <v>0</v>
      </c>
      <c r="V766" s="31">
        <v>0</v>
      </c>
      <c r="W766" s="31">
        <v>0</v>
      </c>
      <c r="X766" s="31">
        <v>0</v>
      </c>
      <c r="Y766" s="31">
        <v>0</v>
      </c>
      <c r="Z766" s="31">
        <v>0</v>
      </c>
      <c r="AA766" s="31">
        <v>0</v>
      </c>
      <c r="AB766" s="31">
        <v>0</v>
      </c>
      <c r="AC766" s="31">
        <v>0</v>
      </c>
      <c r="AD766" s="31">
        <v>110000</v>
      </c>
      <c r="AE766" s="31">
        <v>0</v>
      </c>
      <c r="AF766" s="34">
        <v>2021</v>
      </c>
      <c r="AG766" s="34" t="s">
        <v>274</v>
      </c>
      <c r="AH766" s="35" t="s">
        <v>274</v>
      </c>
    </row>
    <row r="767" spans="1:46" ht="61.5" x14ac:dyDescent="0.85">
      <c r="A767" s="20">
        <v>1</v>
      </c>
      <c r="B767" s="66">
        <f>SUBTOTAL(103,$A$567:A767)</f>
        <v>198</v>
      </c>
      <c r="C767" s="24" t="s">
        <v>832</v>
      </c>
      <c r="D767" s="31">
        <f t="shared" si="275"/>
        <v>110000</v>
      </c>
      <c r="E767" s="31">
        <v>0</v>
      </c>
      <c r="F767" s="31">
        <v>0</v>
      </c>
      <c r="G767" s="31">
        <v>0</v>
      </c>
      <c r="H767" s="31">
        <v>0</v>
      </c>
      <c r="I767" s="31">
        <v>0</v>
      </c>
      <c r="J767" s="31">
        <v>0</v>
      </c>
      <c r="K767" s="33">
        <v>0</v>
      </c>
      <c r="L767" s="31">
        <v>0</v>
      </c>
      <c r="M767" s="31">
        <v>0</v>
      </c>
      <c r="N767" s="31">
        <v>0</v>
      </c>
      <c r="O767" s="31">
        <v>0</v>
      </c>
      <c r="P767" s="31">
        <v>0</v>
      </c>
      <c r="Q767" s="31">
        <v>0</v>
      </c>
      <c r="R767" s="31">
        <v>0</v>
      </c>
      <c r="S767" s="31">
        <v>0</v>
      </c>
      <c r="T767" s="31">
        <v>0</v>
      </c>
      <c r="U767" s="31">
        <v>0</v>
      </c>
      <c r="V767" s="31">
        <v>0</v>
      </c>
      <c r="W767" s="31">
        <v>0</v>
      </c>
      <c r="X767" s="31">
        <v>0</v>
      </c>
      <c r="Y767" s="31">
        <v>0</v>
      </c>
      <c r="Z767" s="31">
        <v>0</v>
      </c>
      <c r="AA767" s="31">
        <v>0</v>
      </c>
      <c r="AB767" s="31">
        <v>0</v>
      </c>
      <c r="AC767" s="31">
        <v>0</v>
      </c>
      <c r="AD767" s="31">
        <v>110000</v>
      </c>
      <c r="AE767" s="31">
        <v>0</v>
      </c>
      <c r="AF767" s="34">
        <v>2021</v>
      </c>
      <c r="AG767" s="34" t="s">
        <v>274</v>
      </c>
      <c r="AH767" s="35" t="s">
        <v>274</v>
      </c>
    </row>
    <row r="768" spans="1:46" ht="61.5" x14ac:dyDescent="0.85">
      <c r="A768" s="20">
        <v>1</v>
      </c>
      <c r="B768" s="66">
        <f>SUBTOTAL(103,$A$567:A768)</f>
        <v>199</v>
      </c>
      <c r="C768" s="24" t="s">
        <v>833</v>
      </c>
      <c r="D768" s="31">
        <f t="shared" si="275"/>
        <v>130000</v>
      </c>
      <c r="E768" s="31">
        <v>0</v>
      </c>
      <c r="F768" s="31">
        <v>0</v>
      </c>
      <c r="G768" s="31">
        <v>0</v>
      </c>
      <c r="H768" s="31">
        <v>0</v>
      </c>
      <c r="I768" s="31">
        <v>0</v>
      </c>
      <c r="J768" s="31">
        <v>0</v>
      </c>
      <c r="K768" s="33">
        <v>0</v>
      </c>
      <c r="L768" s="31">
        <v>0</v>
      </c>
      <c r="M768" s="31">
        <v>0</v>
      </c>
      <c r="N768" s="31">
        <v>0</v>
      </c>
      <c r="O768" s="31">
        <v>0</v>
      </c>
      <c r="P768" s="31">
        <v>0</v>
      </c>
      <c r="Q768" s="31">
        <v>0</v>
      </c>
      <c r="R768" s="31">
        <v>0</v>
      </c>
      <c r="S768" s="31">
        <v>0</v>
      </c>
      <c r="T768" s="31">
        <v>0</v>
      </c>
      <c r="U768" s="31">
        <v>0</v>
      </c>
      <c r="V768" s="31">
        <v>0</v>
      </c>
      <c r="W768" s="31">
        <v>0</v>
      </c>
      <c r="X768" s="31">
        <v>0</v>
      </c>
      <c r="Y768" s="31">
        <v>0</v>
      </c>
      <c r="Z768" s="31">
        <v>0</v>
      </c>
      <c r="AA768" s="31">
        <v>0</v>
      </c>
      <c r="AB768" s="31">
        <v>0</v>
      </c>
      <c r="AC768" s="31">
        <v>0</v>
      </c>
      <c r="AD768" s="31">
        <v>130000</v>
      </c>
      <c r="AE768" s="31">
        <v>0</v>
      </c>
      <c r="AF768" s="34">
        <v>2021</v>
      </c>
      <c r="AG768" s="34" t="s">
        <v>274</v>
      </c>
      <c r="AH768" s="35" t="s">
        <v>274</v>
      </c>
    </row>
    <row r="769" spans="1:46" ht="61.5" x14ac:dyDescent="0.85">
      <c r="A769" s="20">
        <v>1</v>
      </c>
      <c r="B769" s="66">
        <f>SUBTOTAL(103,$A$567:A769)</f>
        <v>200</v>
      </c>
      <c r="C769" s="24" t="s">
        <v>834</v>
      </c>
      <c r="D769" s="31">
        <f t="shared" si="275"/>
        <v>200000</v>
      </c>
      <c r="E769" s="31">
        <v>0</v>
      </c>
      <c r="F769" s="31">
        <v>0</v>
      </c>
      <c r="G769" s="31">
        <v>0</v>
      </c>
      <c r="H769" s="31">
        <v>0</v>
      </c>
      <c r="I769" s="31">
        <v>0</v>
      </c>
      <c r="J769" s="31">
        <v>0</v>
      </c>
      <c r="K769" s="33">
        <v>0</v>
      </c>
      <c r="L769" s="31">
        <v>0</v>
      </c>
      <c r="M769" s="31">
        <v>0</v>
      </c>
      <c r="N769" s="31">
        <v>0</v>
      </c>
      <c r="O769" s="31">
        <v>0</v>
      </c>
      <c r="P769" s="31">
        <v>0</v>
      </c>
      <c r="Q769" s="31">
        <v>0</v>
      </c>
      <c r="R769" s="31">
        <v>0</v>
      </c>
      <c r="S769" s="31">
        <v>0</v>
      </c>
      <c r="T769" s="31">
        <v>0</v>
      </c>
      <c r="U769" s="31">
        <v>0</v>
      </c>
      <c r="V769" s="31">
        <v>0</v>
      </c>
      <c r="W769" s="31">
        <v>0</v>
      </c>
      <c r="X769" s="31">
        <v>0</v>
      </c>
      <c r="Y769" s="31">
        <v>0</v>
      </c>
      <c r="Z769" s="31">
        <v>0</v>
      </c>
      <c r="AA769" s="31">
        <v>0</v>
      </c>
      <c r="AB769" s="31">
        <v>0</v>
      </c>
      <c r="AC769" s="31">
        <v>0</v>
      </c>
      <c r="AD769" s="31">
        <v>200000</v>
      </c>
      <c r="AE769" s="31">
        <v>0</v>
      </c>
      <c r="AF769" s="34">
        <v>2021</v>
      </c>
      <c r="AG769" s="34" t="s">
        <v>274</v>
      </c>
      <c r="AH769" s="35" t="s">
        <v>274</v>
      </c>
    </row>
    <row r="770" spans="1:46" ht="61.5" x14ac:dyDescent="0.85">
      <c r="A770" s="20">
        <v>1</v>
      </c>
      <c r="B770" s="66">
        <f>SUBTOTAL(103,$A$567:A770)</f>
        <v>201</v>
      </c>
      <c r="C770" s="24" t="s">
        <v>856</v>
      </c>
      <c r="D770" s="31">
        <f t="shared" si="275"/>
        <v>80000</v>
      </c>
      <c r="E770" s="31">
        <v>0</v>
      </c>
      <c r="F770" s="31">
        <v>0</v>
      </c>
      <c r="G770" s="31">
        <v>0</v>
      </c>
      <c r="H770" s="31">
        <v>0</v>
      </c>
      <c r="I770" s="31">
        <v>0</v>
      </c>
      <c r="J770" s="31">
        <v>0</v>
      </c>
      <c r="K770" s="33">
        <v>0</v>
      </c>
      <c r="L770" s="31">
        <v>0</v>
      </c>
      <c r="M770" s="31">
        <v>0</v>
      </c>
      <c r="N770" s="31">
        <v>0</v>
      </c>
      <c r="O770" s="31">
        <v>0</v>
      </c>
      <c r="P770" s="31">
        <v>0</v>
      </c>
      <c r="Q770" s="31">
        <v>0</v>
      </c>
      <c r="R770" s="31">
        <v>0</v>
      </c>
      <c r="S770" s="31">
        <v>0</v>
      </c>
      <c r="T770" s="31">
        <v>0</v>
      </c>
      <c r="U770" s="31">
        <v>0</v>
      </c>
      <c r="V770" s="31">
        <v>0</v>
      </c>
      <c r="W770" s="31">
        <v>0</v>
      </c>
      <c r="X770" s="31">
        <v>0</v>
      </c>
      <c r="Y770" s="31">
        <v>0</v>
      </c>
      <c r="Z770" s="31">
        <v>0</v>
      </c>
      <c r="AA770" s="31">
        <v>0</v>
      </c>
      <c r="AB770" s="31">
        <v>0</v>
      </c>
      <c r="AC770" s="31">
        <v>0</v>
      </c>
      <c r="AD770" s="31">
        <v>80000</v>
      </c>
      <c r="AE770" s="31">
        <v>0</v>
      </c>
      <c r="AF770" s="34">
        <v>2021</v>
      </c>
      <c r="AG770" s="34" t="s">
        <v>274</v>
      </c>
      <c r="AH770" s="35" t="s">
        <v>274</v>
      </c>
    </row>
    <row r="771" spans="1:46" ht="61.5" x14ac:dyDescent="0.85">
      <c r="A771" s="20">
        <v>1</v>
      </c>
      <c r="B771" s="66">
        <f>SUBTOTAL(103,$A$567:A771)</f>
        <v>202</v>
      </c>
      <c r="C771" s="24" t="s">
        <v>1703</v>
      </c>
      <c r="D771" s="31">
        <f t="shared" si="275"/>
        <v>100000</v>
      </c>
      <c r="E771" s="31">
        <v>0</v>
      </c>
      <c r="F771" s="31">
        <v>0</v>
      </c>
      <c r="G771" s="31">
        <v>0</v>
      </c>
      <c r="H771" s="31">
        <v>0</v>
      </c>
      <c r="I771" s="31">
        <v>0</v>
      </c>
      <c r="J771" s="31">
        <v>0</v>
      </c>
      <c r="K771" s="33">
        <v>0</v>
      </c>
      <c r="L771" s="31">
        <v>0</v>
      </c>
      <c r="M771" s="31">
        <v>0</v>
      </c>
      <c r="N771" s="31">
        <v>0</v>
      </c>
      <c r="O771" s="31">
        <v>0</v>
      </c>
      <c r="P771" s="31">
        <v>0</v>
      </c>
      <c r="Q771" s="31">
        <v>0</v>
      </c>
      <c r="R771" s="31">
        <v>0</v>
      </c>
      <c r="S771" s="31">
        <v>0</v>
      </c>
      <c r="T771" s="31">
        <v>0</v>
      </c>
      <c r="U771" s="31">
        <v>0</v>
      </c>
      <c r="V771" s="31">
        <v>0</v>
      </c>
      <c r="W771" s="31">
        <v>0</v>
      </c>
      <c r="X771" s="31">
        <v>0</v>
      </c>
      <c r="Y771" s="31">
        <v>0</v>
      </c>
      <c r="Z771" s="31">
        <v>0</v>
      </c>
      <c r="AA771" s="31">
        <v>0</v>
      </c>
      <c r="AB771" s="31">
        <v>0</v>
      </c>
      <c r="AC771" s="31">
        <v>0</v>
      </c>
      <c r="AD771" s="31">
        <v>100000</v>
      </c>
      <c r="AE771" s="31">
        <v>0</v>
      </c>
      <c r="AF771" s="34">
        <v>2021</v>
      </c>
      <c r="AG771" s="34" t="s">
        <v>274</v>
      </c>
      <c r="AH771" s="35" t="s">
        <v>274</v>
      </c>
    </row>
    <row r="772" spans="1:46" ht="61.5" x14ac:dyDescent="0.85">
      <c r="B772" s="24" t="s">
        <v>801</v>
      </c>
      <c r="C772" s="117"/>
      <c r="D772" s="31">
        <f t="shared" ref="D772:AE772" si="276">SUM(D773:D775)</f>
        <v>21856214.649999999</v>
      </c>
      <c r="E772" s="31">
        <f t="shared" si="276"/>
        <v>601798.30000000005</v>
      </c>
      <c r="F772" s="31">
        <f t="shared" si="276"/>
        <v>1360064.57</v>
      </c>
      <c r="G772" s="31">
        <f t="shared" si="276"/>
        <v>1159210.95</v>
      </c>
      <c r="H772" s="31">
        <f t="shared" si="276"/>
        <v>1072260.3</v>
      </c>
      <c r="I772" s="31">
        <f t="shared" si="276"/>
        <v>2605699.19</v>
      </c>
      <c r="J772" s="31">
        <f t="shared" si="276"/>
        <v>0</v>
      </c>
      <c r="K772" s="33">
        <f t="shared" si="276"/>
        <v>4</v>
      </c>
      <c r="L772" s="31">
        <f t="shared" si="276"/>
        <v>8873212</v>
      </c>
      <c r="M772" s="31">
        <f t="shared" si="276"/>
        <v>0</v>
      </c>
      <c r="N772" s="31">
        <f t="shared" si="276"/>
        <v>0</v>
      </c>
      <c r="O772" s="31">
        <f t="shared" si="276"/>
        <v>0</v>
      </c>
      <c r="P772" s="31">
        <f t="shared" si="276"/>
        <v>0</v>
      </c>
      <c r="Q772" s="31">
        <f t="shared" si="276"/>
        <v>2476.9</v>
      </c>
      <c r="R772" s="31">
        <f t="shared" si="276"/>
        <v>5381264.8700000001</v>
      </c>
      <c r="S772" s="31">
        <f t="shared" si="276"/>
        <v>0</v>
      </c>
      <c r="T772" s="31">
        <f t="shared" si="276"/>
        <v>0</v>
      </c>
      <c r="U772" s="31">
        <f t="shared" si="276"/>
        <v>0</v>
      </c>
      <c r="V772" s="31">
        <f t="shared" si="276"/>
        <v>0</v>
      </c>
      <c r="W772" s="31">
        <f t="shared" si="276"/>
        <v>0</v>
      </c>
      <c r="X772" s="31">
        <f t="shared" si="276"/>
        <v>0</v>
      </c>
      <c r="Y772" s="31">
        <f t="shared" si="276"/>
        <v>0</v>
      </c>
      <c r="Z772" s="31">
        <f t="shared" si="276"/>
        <v>0</v>
      </c>
      <c r="AA772" s="31">
        <f t="shared" si="276"/>
        <v>0</v>
      </c>
      <c r="AB772" s="31">
        <f t="shared" si="276"/>
        <v>0</v>
      </c>
      <c r="AC772" s="31">
        <f t="shared" si="276"/>
        <v>182704.47</v>
      </c>
      <c r="AD772" s="31">
        <f t="shared" si="276"/>
        <v>620000</v>
      </c>
      <c r="AE772" s="31">
        <f t="shared" si="276"/>
        <v>0</v>
      </c>
      <c r="AF772" s="72" t="s">
        <v>794</v>
      </c>
      <c r="AG772" s="72" t="s">
        <v>794</v>
      </c>
      <c r="AH772" s="91" t="s">
        <v>794</v>
      </c>
      <c r="AT772" s="20" t="e">
        <f t="shared" ref="AT772:AT788" si="277">VLOOKUP(C772,AW:AX,2,FALSE)</f>
        <v>#N/A</v>
      </c>
    </row>
    <row r="773" spans="1:46" ht="61.5" x14ac:dyDescent="0.85">
      <c r="A773" s="20">
        <v>1</v>
      </c>
      <c r="B773" s="66">
        <f>SUBTOTAL(103,$A$567:A773)</f>
        <v>203</v>
      </c>
      <c r="C773" s="24" t="s">
        <v>398</v>
      </c>
      <c r="D773" s="31">
        <f t="shared" ref="D773:D775" si="278">E773+F773+G773+H773+I773+J773+L773+N773+P773+R773+T773+U773+V773+W773+X773+Y773+Z773+AA773+AB773+AC773+AD773+AE773</f>
        <v>8993212</v>
      </c>
      <c r="E773" s="31">
        <v>0</v>
      </c>
      <c r="F773" s="31">
        <v>0</v>
      </c>
      <c r="G773" s="31">
        <v>0</v>
      </c>
      <c r="H773" s="31">
        <v>0</v>
      </c>
      <c r="I773" s="31">
        <v>0</v>
      </c>
      <c r="J773" s="31">
        <v>0</v>
      </c>
      <c r="K773" s="33">
        <v>4</v>
      </c>
      <c r="L773" s="31">
        <v>8873212</v>
      </c>
      <c r="M773" s="31">
        <v>0</v>
      </c>
      <c r="N773" s="31">
        <v>0</v>
      </c>
      <c r="O773" s="31">
        <v>0</v>
      </c>
      <c r="P773" s="31">
        <v>0</v>
      </c>
      <c r="Q773" s="31">
        <v>0</v>
      </c>
      <c r="R773" s="31">
        <v>0</v>
      </c>
      <c r="S773" s="31">
        <v>0</v>
      </c>
      <c r="T773" s="31">
        <v>0</v>
      </c>
      <c r="U773" s="31">
        <v>0</v>
      </c>
      <c r="V773" s="31">
        <v>0</v>
      </c>
      <c r="W773" s="31">
        <v>0</v>
      </c>
      <c r="X773" s="31">
        <v>0</v>
      </c>
      <c r="Y773" s="31">
        <v>0</v>
      </c>
      <c r="Z773" s="31">
        <v>0</v>
      </c>
      <c r="AA773" s="31">
        <v>0</v>
      </c>
      <c r="AB773" s="31">
        <v>0</v>
      </c>
      <c r="AC773" s="31">
        <v>0</v>
      </c>
      <c r="AD773" s="31">
        <v>120000</v>
      </c>
      <c r="AE773" s="31">
        <v>0</v>
      </c>
      <c r="AF773" s="34">
        <v>2021</v>
      </c>
      <c r="AG773" s="34">
        <v>2021</v>
      </c>
      <c r="AH773" s="35" t="s">
        <v>274</v>
      </c>
      <c r="AT773" s="20" t="e">
        <f t="shared" si="277"/>
        <v>#N/A</v>
      </c>
    </row>
    <row r="774" spans="1:46" ht="61.5" x14ac:dyDescent="0.85">
      <c r="A774" s="20">
        <v>1</v>
      </c>
      <c r="B774" s="66">
        <f>SUBTOTAL(103,$A$567:A774)</f>
        <v>204</v>
      </c>
      <c r="C774" s="24" t="s">
        <v>399</v>
      </c>
      <c r="D774" s="31">
        <f t="shared" si="278"/>
        <v>7201018.8100000005</v>
      </c>
      <c r="E774" s="31">
        <v>601798.30000000005</v>
      </c>
      <c r="F774" s="31">
        <v>1360064.57</v>
      </c>
      <c r="G774" s="31">
        <v>1159210.95</v>
      </c>
      <c r="H774" s="31">
        <v>1072260.3</v>
      </c>
      <c r="I774" s="31">
        <v>2605699.19</v>
      </c>
      <c r="J774" s="31">
        <v>0</v>
      </c>
      <c r="K774" s="33">
        <v>0</v>
      </c>
      <c r="L774" s="31">
        <v>0</v>
      </c>
      <c r="M774" s="31">
        <v>0</v>
      </c>
      <c r="N774" s="31">
        <v>0</v>
      </c>
      <c r="O774" s="31">
        <v>0</v>
      </c>
      <c r="P774" s="31">
        <v>0</v>
      </c>
      <c r="Q774" s="31">
        <v>0</v>
      </c>
      <c r="R774" s="31">
        <v>0</v>
      </c>
      <c r="S774" s="31">
        <v>0</v>
      </c>
      <c r="T774" s="31">
        <v>0</v>
      </c>
      <c r="U774" s="31">
        <v>0</v>
      </c>
      <c r="V774" s="31">
        <v>0</v>
      </c>
      <c r="W774" s="31">
        <v>0</v>
      </c>
      <c r="X774" s="31">
        <v>0</v>
      </c>
      <c r="Y774" s="31">
        <v>0</v>
      </c>
      <c r="Z774" s="31">
        <v>0</v>
      </c>
      <c r="AA774" s="31">
        <v>0</v>
      </c>
      <c r="AB774" s="31">
        <v>0</v>
      </c>
      <c r="AC774" s="31">
        <f t="shared" ref="AC774" si="279">ROUND((E774+F774+G774+H774+I774+J774)*1.5%,2)</f>
        <v>101985.5</v>
      </c>
      <c r="AD774" s="31">
        <v>300000</v>
      </c>
      <c r="AE774" s="31">
        <v>0</v>
      </c>
      <c r="AF774" s="34">
        <v>2021</v>
      </c>
      <c r="AG774" s="34">
        <v>2021</v>
      </c>
      <c r="AH774" s="35">
        <v>2021</v>
      </c>
      <c r="AT774" s="20" t="e">
        <f t="shared" si="277"/>
        <v>#N/A</v>
      </c>
    </row>
    <row r="775" spans="1:46" ht="61.5" x14ac:dyDescent="0.85">
      <c r="A775" s="20">
        <v>1</v>
      </c>
      <c r="B775" s="66">
        <f>SUBTOTAL(103,$A$567:A775)</f>
        <v>205</v>
      </c>
      <c r="C775" s="24" t="s">
        <v>400</v>
      </c>
      <c r="D775" s="31">
        <f t="shared" si="278"/>
        <v>5661983.8399999999</v>
      </c>
      <c r="E775" s="31">
        <v>0</v>
      </c>
      <c r="F775" s="31">
        <v>0</v>
      </c>
      <c r="G775" s="31">
        <v>0</v>
      </c>
      <c r="H775" s="31">
        <v>0</v>
      </c>
      <c r="I775" s="31">
        <v>0</v>
      </c>
      <c r="J775" s="31">
        <v>0</v>
      </c>
      <c r="K775" s="33">
        <v>0</v>
      </c>
      <c r="L775" s="31">
        <v>0</v>
      </c>
      <c r="M775" s="31">
        <v>0</v>
      </c>
      <c r="N775" s="31">
        <v>0</v>
      </c>
      <c r="O775" s="31">
        <v>0</v>
      </c>
      <c r="P775" s="31">
        <v>0</v>
      </c>
      <c r="Q775" s="31">
        <v>2476.9</v>
      </c>
      <c r="R775" s="31">
        <v>5381264.8700000001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1">
        <v>0</v>
      </c>
      <c r="Y775" s="31">
        <v>0</v>
      </c>
      <c r="Z775" s="31">
        <v>0</v>
      </c>
      <c r="AA775" s="31">
        <v>0</v>
      </c>
      <c r="AB775" s="31">
        <v>0</v>
      </c>
      <c r="AC775" s="31">
        <f t="shared" ref="AC775" si="280">ROUND(R775*1.5%,2)</f>
        <v>80718.97</v>
      </c>
      <c r="AD775" s="31">
        <v>200000</v>
      </c>
      <c r="AE775" s="31">
        <v>0</v>
      </c>
      <c r="AF775" s="34">
        <v>2021</v>
      </c>
      <c r="AG775" s="34">
        <v>2021</v>
      </c>
      <c r="AH775" s="35">
        <v>2021</v>
      </c>
      <c r="AT775" s="20" t="e">
        <f t="shared" si="277"/>
        <v>#N/A</v>
      </c>
    </row>
    <row r="776" spans="1:46" ht="61.5" x14ac:dyDescent="0.85">
      <c r="B776" s="24" t="s">
        <v>858</v>
      </c>
      <c r="C776" s="117"/>
      <c r="D776" s="31">
        <f>SUM(D777:D789)</f>
        <v>55019080.369999997</v>
      </c>
      <c r="E776" s="31">
        <f t="shared" ref="E776:AE776" si="281">SUM(E777:E789)</f>
        <v>0</v>
      </c>
      <c r="F776" s="31">
        <f t="shared" si="281"/>
        <v>0</v>
      </c>
      <c r="G776" s="31">
        <f t="shared" si="281"/>
        <v>0</v>
      </c>
      <c r="H776" s="31">
        <f t="shared" si="281"/>
        <v>0</v>
      </c>
      <c r="I776" s="31">
        <f t="shared" si="281"/>
        <v>0</v>
      </c>
      <c r="J776" s="31">
        <f t="shared" si="281"/>
        <v>0</v>
      </c>
      <c r="K776" s="33">
        <f t="shared" si="281"/>
        <v>1</v>
      </c>
      <c r="L776" s="31">
        <f t="shared" si="281"/>
        <v>2148303</v>
      </c>
      <c r="M776" s="31">
        <f t="shared" si="281"/>
        <v>10167.1</v>
      </c>
      <c r="N776" s="31">
        <f t="shared" si="281"/>
        <v>50148549.130000003</v>
      </c>
      <c r="O776" s="31">
        <f t="shared" si="281"/>
        <v>0</v>
      </c>
      <c r="P776" s="31">
        <f t="shared" si="281"/>
        <v>0</v>
      </c>
      <c r="Q776" s="31">
        <f t="shared" si="281"/>
        <v>0</v>
      </c>
      <c r="R776" s="31">
        <f t="shared" si="281"/>
        <v>0</v>
      </c>
      <c r="S776" s="31">
        <f t="shared" si="281"/>
        <v>0</v>
      </c>
      <c r="T776" s="31">
        <f t="shared" si="281"/>
        <v>0</v>
      </c>
      <c r="U776" s="31">
        <f t="shared" si="281"/>
        <v>0</v>
      </c>
      <c r="V776" s="31">
        <f t="shared" si="281"/>
        <v>0</v>
      </c>
      <c r="W776" s="31">
        <f t="shared" si="281"/>
        <v>0</v>
      </c>
      <c r="X776" s="31">
        <f t="shared" si="281"/>
        <v>0</v>
      </c>
      <c r="Y776" s="31">
        <f t="shared" si="281"/>
        <v>0</v>
      </c>
      <c r="Z776" s="31">
        <f t="shared" si="281"/>
        <v>0</v>
      </c>
      <c r="AA776" s="31">
        <f t="shared" si="281"/>
        <v>0</v>
      </c>
      <c r="AB776" s="31">
        <f t="shared" si="281"/>
        <v>0</v>
      </c>
      <c r="AC776" s="31">
        <f t="shared" si="281"/>
        <v>752228.24000000011</v>
      </c>
      <c r="AD776" s="31">
        <f t="shared" si="281"/>
        <v>1970000</v>
      </c>
      <c r="AE776" s="31">
        <f t="shared" si="281"/>
        <v>0</v>
      </c>
      <c r="AF776" s="72" t="s">
        <v>794</v>
      </c>
      <c r="AG776" s="72" t="s">
        <v>794</v>
      </c>
      <c r="AH776" s="91" t="s">
        <v>794</v>
      </c>
      <c r="AT776" s="20" t="e">
        <f t="shared" si="277"/>
        <v>#N/A</v>
      </c>
    </row>
    <row r="777" spans="1:46" ht="61.5" x14ac:dyDescent="0.85">
      <c r="A777" s="20">
        <v>1</v>
      </c>
      <c r="B777" s="66">
        <f>SUBTOTAL(103,$A$567:A777)</f>
        <v>206</v>
      </c>
      <c r="C777" s="24" t="s">
        <v>648</v>
      </c>
      <c r="D777" s="31">
        <f t="shared" ref="D777:D788" si="282">E777+F777+G777+H777+I777+J777+L777+N777+P777+R777+T777+U777+V777+W777+X777+Y777+Z777+AA777+AB777+AC777+AD777+AE777</f>
        <v>4335833</v>
      </c>
      <c r="E777" s="36">
        <v>0</v>
      </c>
      <c r="F777" s="36">
        <v>0</v>
      </c>
      <c r="G777" s="36">
        <v>0</v>
      </c>
      <c r="H777" s="36">
        <v>0</v>
      </c>
      <c r="I777" s="36">
        <v>0</v>
      </c>
      <c r="J777" s="36">
        <v>0</v>
      </c>
      <c r="K777" s="33">
        <v>0</v>
      </c>
      <c r="L777" s="31">
        <v>0</v>
      </c>
      <c r="M777" s="31">
        <v>773</v>
      </c>
      <c r="N777" s="31">
        <v>4123973.4</v>
      </c>
      <c r="O777" s="31">
        <v>0</v>
      </c>
      <c r="P777" s="31">
        <v>0</v>
      </c>
      <c r="Q777" s="31">
        <v>0</v>
      </c>
      <c r="R777" s="31">
        <v>0</v>
      </c>
      <c r="S777" s="31">
        <v>0</v>
      </c>
      <c r="T777" s="31">
        <v>0</v>
      </c>
      <c r="U777" s="31">
        <v>0</v>
      </c>
      <c r="V777" s="31">
        <v>0</v>
      </c>
      <c r="W777" s="31">
        <v>0</v>
      </c>
      <c r="X777" s="31">
        <v>0</v>
      </c>
      <c r="Y777" s="31">
        <v>0</v>
      </c>
      <c r="Z777" s="31">
        <v>0</v>
      </c>
      <c r="AA777" s="31">
        <v>0</v>
      </c>
      <c r="AB777" s="31">
        <v>0</v>
      </c>
      <c r="AC777" s="31">
        <f t="shared" ref="AC777:AC785" si="283">ROUND(N777*1.5%,2)</f>
        <v>61859.6</v>
      </c>
      <c r="AD777" s="31">
        <v>150000</v>
      </c>
      <c r="AE777" s="31">
        <v>0</v>
      </c>
      <c r="AF777" s="34">
        <v>2021</v>
      </c>
      <c r="AG777" s="34">
        <v>2021</v>
      </c>
      <c r="AH777" s="35">
        <v>2021</v>
      </c>
      <c r="AT777" s="20" t="e">
        <f t="shared" si="277"/>
        <v>#N/A</v>
      </c>
    </row>
    <row r="778" spans="1:46" ht="61.5" x14ac:dyDescent="0.85">
      <c r="A778" s="20">
        <v>1</v>
      </c>
      <c r="B778" s="66">
        <f>SUBTOTAL(103,$A$567:A778)</f>
        <v>207</v>
      </c>
      <c r="C778" s="24" t="s">
        <v>649</v>
      </c>
      <c r="D778" s="31">
        <f t="shared" si="282"/>
        <v>5909484.1499999994</v>
      </c>
      <c r="E778" s="36">
        <v>0</v>
      </c>
      <c r="F778" s="36">
        <v>0</v>
      </c>
      <c r="G778" s="36">
        <v>0</v>
      </c>
      <c r="H778" s="36">
        <v>0</v>
      </c>
      <c r="I778" s="36">
        <v>0</v>
      </c>
      <c r="J778" s="36">
        <v>0</v>
      </c>
      <c r="K778" s="33">
        <v>0</v>
      </c>
      <c r="L778" s="31">
        <v>0</v>
      </c>
      <c r="M778" s="31">
        <v>1050</v>
      </c>
      <c r="N778" s="31">
        <v>5644811.9699999997</v>
      </c>
      <c r="O778" s="31">
        <v>0</v>
      </c>
      <c r="P778" s="31">
        <v>0</v>
      </c>
      <c r="Q778" s="31">
        <v>0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1">
        <v>0</v>
      </c>
      <c r="Y778" s="31">
        <v>0</v>
      </c>
      <c r="Z778" s="31">
        <v>0</v>
      </c>
      <c r="AA778" s="31">
        <v>0</v>
      </c>
      <c r="AB778" s="31">
        <v>0</v>
      </c>
      <c r="AC778" s="31">
        <f t="shared" si="283"/>
        <v>84672.18</v>
      </c>
      <c r="AD778" s="31">
        <v>180000</v>
      </c>
      <c r="AE778" s="31">
        <v>0</v>
      </c>
      <c r="AF778" s="34">
        <v>2021</v>
      </c>
      <c r="AG778" s="34">
        <v>2021</v>
      </c>
      <c r="AH778" s="35">
        <v>2021</v>
      </c>
      <c r="AT778" s="20" t="e">
        <f t="shared" si="277"/>
        <v>#N/A</v>
      </c>
    </row>
    <row r="779" spans="1:46" ht="61.5" x14ac:dyDescent="0.85">
      <c r="A779" s="20">
        <v>1</v>
      </c>
      <c r="B779" s="66">
        <f>SUBTOTAL(103,$A$567:A779)</f>
        <v>208</v>
      </c>
      <c r="C779" s="24" t="s">
        <v>650</v>
      </c>
      <c r="D779" s="31">
        <f t="shared" si="282"/>
        <v>4721220</v>
      </c>
      <c r="E779" s="36">
        <v>0</v>
      </c>
      <c r="F779" s="36">
        <v>0</v>
      </c>
      <c r="G779" s="36">
        <v>0</v>
      </c>
      <c r="H779" s="36">
        <v>0</v>
      </c>
      <c r="I779" s="36">
        <v>0</v>
      </c>
      <c r="J779" s="36">
        <v>0</v>
      </c>
      <c r="K779" s="33">
        <v>0</v>
      </c>
      <c r="L779" s="31">
        <v>0</v>
      </c>
      <c r="M779" s="31">
        <v>945</v>
      </c>
      <c r="N779" s="31">
        <v>4503665.0199999996</v>
      </c>
      <c r="O779" s="31">
        <v>0</v>
      </c>
      <c r="P779" s="31">
        <v>0</v>
      </c>
      <c r="Q779" s="31">
        <v>0</v>
      </c>
      <c r="R779" s="31">
        <v>0</v>
      </c>
      <c r="S779" s="31">
        <v>0</v>
      </c>
      <c r="T779" s="31">
        <v>0</v>
      </c>
      <c r="U779" s="31">
        <v>0</v>
      </c>
      <c r="V779" s="31">
        <v>0</v>
      </c>
      <c r="W779" s="31">
        <v>0</v>
      </c>
      <c r="X779" s="31">
        <v>0</v>
      </c>
      <c r="Y779" s="31">
        <v>0</v>
      </c>
      <c r="Z779" s="31">
        <v>0</v>
      </c>
      <c r="AA779" s="31">
        <v>0</v>
      </c>
      <c r="AB779" s="31">
        <v>0</v>
      </c>
      <c r="AC779" s="31">
        <f t="shared" si="283"/>
        <v>67554.98</v>
      </c>
      <c r="AD779" s="31">
        <v>150000</v>
      </c>
      <c r="AE779" s="31">
        <v>0</v>
      </c>
      <c r="AF779" s="34">
        <v>2021</v>
      </c>
      <c r="AG779" s="34">
        <v>2021</v>
      </c>
      <c r="AH779" s="35">
        <v>2021</v>
      </c>
      <c r="AT779" s="20" t="e">
        <f t="shared" si="277"/>
        <v>#N/A</v>
      </c>
    </row>
    <row r="780" spans="1:46" ht="61.5" x14ac:dyDescent="0.85">
      <c r="A780" s="20">
        <v>1</v>
      </c>
      <c r="B780" s="66">
        <f>SUBTOTAL(103,$A$567:A780)</f>
        <v>209</v>
      </c>
      <c r="C780" s="24" t="s">
        <v>655</v>
      </c>
      <c r="D780" s="31">
        <f t="shared" si="282"/>
        <v>3393650</v>
      </c>
      <c r="E780" s="36">
        <v>0</v>
      </c>
      <c r="F780" s="36">
        <v>0</v>
      </c>
      <c r="G780" s="36">
        <v>0</v>
      </c>
      <c r="H780" s="36">
        <v>0</v>
      </c>
      <c r="I780" s="36">
        <v>0</v>
      </c>
      <c r="J780" s="36">
        <v>0</v>
      </c>
      <c r="K780" s="33">
        <v>0</v>
      </c>
      <c r="L780" s="31">
        <v>0</v>
      </c>
      <c r="M780" s="31">
        <v>650</v>
      </c>
      <c r="N780" s="31">
        <v>3195714.29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  <c r="V780" s="31">
        <v>0</v>
      </c>
      <c r="W780" s="31">
        <v>0</v>
      </c>
      <c r="X780" s="31">
        <v>0</v>
      </c>
      <c r="Y780" s="31">
        <v>0</v>
      </c>
      <c r="Z780" s="31">
        <v>0</v>
      </c>
      <c r="AA780" s="31">
        <v>0</v>
      </c>
      <c r="AB780" s="31">
        <v>0</v>
      </c>
      <c r="AC780" s="31">
        <f t="shared" si="283"/>
        <v>47935.71</v>
      </c>
      <c r="AD780" s="31">
        <v>150000</v>
      </c>
      <c r="AE780" s="31">
        <v>0</v>
      </c>
      <c r="AF780" s="34">
        <v>2021</v>
      </c>
      <c r="AG780" s="34">
        <v>2021</v>
      </c>
      <c r="AH780" s="35">
        <v>2021</v>
      </c>
      <c r="AT780" s="20">
        <f t="shared" si="277"/>
        <v>1</v>
      </c>
    </row>
    <row r="781" spans="1:46" ht="61.5" x14ac:dyDescent="0.85">
      <c r="A781" s="20">
        <v>1</v>
      </c>
      <c r="B781" s="66">
        <f>SUBTOTAL(103,$A$567:A781)</f>
        <v>210</v>
      </c>
      <c r="C781" s="24" t="s">
        <v>656</v>
      </c>
      <c r="D781" s="31">
        <f t="shared" si="282"/>
        <v>5195840</v>
      </c>
      <c r="E781" s="36">
        <v>0</v>
      </c>
      <c r="F781" s="36">
        <v>0</v>
      </c>
      <c r="G781" s="36">
        <v>0</v>
      </c>
      <c r="H781" s="36">
        <v>0</v>
      </c>
      <c r="I781" s="36">
        <v>0</v>
      </c>
      <c r="J781" s="36">
        <v>0</v>
      </c>
      <c r="K781" s="33">
        <v>0</v>
      </c>
      <c r="L781" s="31">
        <v>0</v>
      </c>
      <c r="M781" s="31">
        <v>1040</v>
      </c>
      <c r="N781" s="31">
        <v>4941714.29</v>
      </c>
      <c r="O781" s="31">
        <v>0</v>
      </c>
      <c r="P781" s="31">
        <v>0</v>
      </c>
      <c r="Q781" s="31">
        <v>0</v>
      </c>
      <c r="R781" s="31">
        <v>0</v>
      </c>
      <c r="S781" s="31">
        <v>0</v>
      </c>
      <c r="T781" s="31">
        <v>0</v>
      </c>
      <c r="U781" s="31">
        <v>0</v>
      </c>
      <c r="V781" s="31">
        <v>0</v>
      </c>
      <c r="W781" s="31">
        <v>0</v>
      </c>
      <c r="X781" s="31">
        <v>0</v>
      </c>
      <c r="Y781" s="31">
        <v>0</v>
      </c>
      <c r="Z781" s="31">
        <v>0</v>
      </c>
      <c r="AA781" s="31">
        <v>0</v>
      </c>
      <c r="AB781" s="31">
        <v>0</v>
      </c>
      <c r="AC781" s="31">
        <f t="shared" si="283"/>
        <v>74125.710000000006</v>
      </c>
      <c r="AD781" s="31">
        <v>180000</v>
      </c>
      <c r="AE781" s="31">
        <v>0</v>
      </c>
      <c r="AF781" s="34">
        <v>2021</v>
      </c>
      <c r="AG781" s="34">
        <v>2021</v>
      </c>
      <c r="AH781" s="35">
        <v>2021</v>
      </c>
      <c r="AT781" s="20" t="e">
        <f t="shared" si="277"/>
        <v>#N/A</v>
      </c>
    </row>
    <row r="782" spans="1:46" ht="61.5" x14ac:dyDescent="0.85">
      <c r="A782" s="20">
        <v>1</v>
      </c>
      <c r="B782" s="66">
        <f>SUBTOTAL(103,$A$567:A782)</f>
        <v>211</v>
      </c>
      <c r="C782" s="24" t="s">
        <v>654</v>
      </c>
      <c r="D782" s="31">
        <f t="shared" si="282"/>
        <v>4892077</v>
      </c>
      <c r="E782" s="36">
        <v>0</v>
      </c>
      <c r="F782" s="36">
        <v>0</v>
      </c>
      <c r="G782" s="36">
        <v>0</v>
      </c>
      <c r="H782" s="36">
        <v>0</v>
      </c>
      <c r="I782" s="36">
        <v>0</v>
      </c>
      <c r="J782" s="36">
        <v>0</v>
      </c>
      <c r="K782" s="33">
        <v>0</v>
      </c>
      <c r="L782" s="31">
        <v>0</v>
      </c>
      <c r="M782" s="31">
        <v>937</v>
      </c>
      <c r="N782" s="31">
        <v>4671997.04</v>
      </c>
      <c r="O782" s="31">
        <v>0</v>
      </c>
      <c r="P782" s="31">
        <v>0</v>
      </c>
      <c r="Q782" s="31">
        <v>0</v>
      </c>
      <c r="R782" s="31">
        <v>0</v>
      </c>
      <c r="S782" s="31">
        <v>0</v>
      </c>
      <c r="T782" s="31">
        <v>0</v>
      </c>
      <c r="U782" s="31">
        <v>0</v>
      </c>
      <c r="V782" s="31">
        <v>0</v>
      </c>
      <c r="W782" s="31">
        <v>0</v>
      </c>
      <c r="X782" s="31">
        <v>0</v>
      </c>
      <c r="Y782" s="31">
        <v>0</v>
      </c>
      <c r="Z782" s="31">
        <v>0</v>
      </c>
      <c r="AA782" s="31">
        <v>0</v>
      </c>
      <c r="AB782" s="31">
        <v>0</v>
      </c>
      <c r="AC782" s="31">
        <f t="shared" si="283"/>
        <v>70079.960000000006</v>
      </c>
      <c r="AD782" s="31">
        <v>150000</v>
      </c>
      <c r="AE782" s="31">
        <v>0</v>
      </c>
      <c r="AF782" s="34">
        <v>2021</v>
      </c>
      <c r="AG782" s="34">
        <v>2021</v>
      </c>
      <c r="AH782" s="35">
        <v>2021</v>
      </c>
      <c r="AT782" s="20">
        <f t="shared" si="277"/>
        <v>1</v>
      </c>
    </row>
    <row r="783" spans="1:46" ht="61.5" x14ac:dyDescent="0.85">
      <c r="A783" s="20">
        <v>1</v>
      </c>
      <c r="B783" s="66">
        <f>SUBTOTAL(103,$A$567:A783)</f>
        <v>212</v>
      </c>
      <c r="C783" s="24" t="s">
        <v>645</v>
      </c>
      <c r="D783" s="31">
        <f t="shared" si="282"/>
        <v>2921671.6</v>
      </c>
      <c r="E783" s="36">
        <v>0</v>
      </c>
      <c r="F783" s="36">
        <v>0</v>
      </c>
      <c r="G783" s="36">
        <v>0</v>
      </c>
      <c r="H783" s="36">
        <v>0</v>
      </c>
      <c r="I783" s="36">
        <v>0</v>
      </c>
      <c r="J783" s="36">
        <v>0</v>
      </c>
      <c r="K783" s="33">
        <v>0</v>
      </c>
      <c r="L783" s="31">
        <v>0</v>
      </c>
      <c r="M783" s="31">
        <v>559.6</v>
      </c>
      <c r="N783" s="31">
        <v>2730710.94</v>
      </c>
      <c r="O783" s="31">
        <v>0</v>
      </c>
      <c r="P783" s="31">
        <v>0</v>
      </c>
      <c r="Q783" s="31">
        <v>0</v>
      </c>
      <c r="R783" s="31">
        <v>0</v>
      </c>
      <c r="S783" s="31">
        <v>0</v>
      </c>
      <c r="T783" s="31">
        <v>0</v>
      </c>
      <c r="U783" s="31">
        <v>0</v>
      </c>
      <c r="V783" s="31">
        <v>0</v>
      </c>
      <c r="W783" s="31">
        <v>0</v>
      </c>
      <c r="X783" s="31">
        <v>0</v>
      </c>
      <c r="Y783" s="31">
        <v>0</v>
      </c>
      <c r="Z783" s="31">
        <v>0</v>
      </c>
      <c r="AA783" s="31">
        <v>0</v>
      </c>
      <c r="AB783" s="31">
        <v>0</v>
      </c>
      <c r="AC783" s="31">
        <f t="shared" si="283"/>
        <v>40960.660000000003</v>
      </c>
      <c r="AD783" s="31">
        <v>150000</v>
      </c>
      <c r="AE783" s="31">
        <v>0</v>
      </c>
      <c r="AF783" s="34">
        <v>2021</v>
      </c>
      <c r="AG783" s="34">
        <v>2021</v>
      </c>
      <c r="AH783" s="35">
        <v>2021</v>
      </c>
      <c r="AT783" s="20" t="e">
        <f t="shared" si="277"/>
        <v>#N/A</v>
      </c>
    </row>
    <row r="784" spans="1:46" ht="61.5" x14ac:dyDescent="0.85">
      <c r="A784" s="20">
        <v>1</v>
      </c>
      <c r="B784" s="66">
        <f>SUBTOTAL(103,$A$567:A784)</f>
        <v>213</v>
      </c>
      <c r="C784" s="24" t="s">
        <v>660</v>
      </c>
      <c r="D784" s="31">
        <f t="shared" si="282"/>
        <v>4923403</v>
      </c>
      <c r="E784" s="36">
        <v>0</v>
      </c>
      <c r="F784" s="36">
        <v>0</v>
      </c>
      <c r="G784" s="36">
        <v>0</v>
      </c>
      <c r="H784" s="36">
        <v>0</v>
      </c>
      <c r="I784" s="36">
        <v>0</v>
      </c>
      <c r="J784" s="36">
        <v>0</v>
      </c>
      <c r="K784" s="33">
        <v>0</v>
      </c>
      <c r="L784" s="31">
        <v>0</v>
      </c>
      <c r="M784" s="31">
        <v>943</v>
      </c>
      <c r="N784" s="31">
        <v>4702860.0999999996</v>
      </c>
      <c r="O784" s="31">
        <v>0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  <c r="V784" s="31">
        <v>0</v>
      </c>
      <c r="W784" s="31">
        <v>0</v>
      </c>
      <c r="X784" s="31">
        <v>0</v>
      </c>
      <c r="Y784" s="31">
        <v>0</v>
      </c>
      <c r="Z784" s="31">
        <v>0</v>
      </c>
      <c r="AA784" s="31">
        <v>0</v>
      </c>
      <c r="AB784" s="31">
        <v>0</v>
      </c>
      <c r="AC784" s="31">
        <f t="shared" si="283"/>
        <v>70542.899999999994</v>
      </c>
      <c r="AD784" s="31">
        <v>150000</v>
      </c>
      <c r="AE784" s="31">
        <v>0</v>
      </c>
      <c r="AF784" s="34">
        <v>2021</v>
      </c>
      <c r="AG784" s="34">
        <v>2021</v>
      </c>
      <c r="AH784" s="35">
        <v>2021</v>
      </c>
      <c r="AT784" s="20" t="e">
        <f t="shared" si="277"/>
        <v>#N/A</v>
      </c>
    </row>
    <row r="785" spans="1:46" ht="61.5" x14ac:dyDescent="0.85">
      <c r="A785" s="20">
        <v>1</v>
      </c>
      <c r="B785" s="66">
        <f>SUBTOTAL(103,$A$567:A785)</f>
        <v>214</v>
      </c>
      <c r="C785" s="24" t="s">
        <v>659</v>
      </c>
      <c r="D785" s="31">
        <f t="shared" si="282"/>
        <v>2767130</v>
      </c>
      <c r="E785" s="36">
        <v>0</v>
      </c>
      <c r="F785" s="36">
        <v>0</v>
      </c>
      <c r="G785" s="36">
        <v>0</v>
      </c>
      <c r="H785" s="36">
        <v>0</v>
      </c>
      <c r="I785" s="36">
        <v>0</v>
      </c>
      <c r="J785" s="36">
        <v>0</v>
      </c>
      <c r="K785" s="33">
        <v>0</v>
      </c>
      <c r="L785" s="31">
        <v>0</v>
      </c>
      <c r="M785" s="31">
        <v>530</v>
      </c>
      <c r="N785" s="31">
        <v>2578453.2000000002</v>
      </c>
      <c r="O785" s="31">
        <v>0</v>
      </c>
      <c r="P785" s="31">
        <v>0</v>
      </c>
      <c r="Q785" s="31">
        <v>0</v>
      </c>
      <c r="R785" s="31">
        <v>0</v>
      </c>
      <c r="S785" s="31">
        <v>0</v>
      </c>
      <c r="T785" s="31">
        <v>0</v>
      </c>
      <c r="U785" s="31">
        <v>0</v>
      </c>
      <c r="V785" s="31">
        <v>0</v>
      </c>
      <c r="W785" s="31">
        <v>0</v>
      </c>
      <c r="X785" s="31">
        <v>0</v>
      </c>
      <c r="Y785" s="31">
        <v>0</v>
      </c>
      <c r="Z785" s="31">
        <v>0</v>
      </c>
      <c r="AA785" s="31">
        <v>0</v>
      </c>
      <c r="AB785" s="31">
        <v>0</v>
      </c>
      <c r="AC785" s="31">
        <f t="shared" si="283"/>
        <v>38676.800000000003</v>
      </c>
      <c r="AD785" s="31">
        <v>150000</v>
      </c>
      <c r="AE785" s="31">
        <v>0</v>
      </c>
      <c r="AF785" s="34">
        <v>2021</v>
      </c>
      <c r="AG785" s="34">
        <v>2021</v>
      </c>
      <c r="AH785" s="35">
        <v>2021</v>
      </c>
      <c r="AT785" s="20">
        <f t="shared" si="277"/>
        <v>1</v>
      </c>
    </row>
    <row r="786" spans="1:46" ht="61.5" x14ac:dyDescent="0.85">
      <c r="A786" s="20">
        <v>1</v>
      </c>
      <c r="B786" s="66">
        <f>SUBTOTAL(103,$A$567:A786)</f>
        <v>215</v>
      </c>
      <c r="C786" s="24" t="s">
        <v>664</v>
      </c>
      <c r="D786" s="31">
        <f t="shared" si="282"/>
        <v>2248303</v>
      </c>
      <c r="E786" s="36">
        <v>0</v>
      </c>
      <c r="F786" s="36">
        <v>0</v>
      </c>
      <c r="G786" s="36">
        <v>0</v>
      </c>
      <c r="H786" s="36">
        <v>0</v>
      </c>
      <c r="I786" s="36">
        <v>0</v>
      </c>
      <c r="J786" s="36">
        <v>0</v>
      </c>
      <c r="K786" s="33">
        <v>1</v>
      </c>
      <c r="L786" s="31">
        <v>2148303</v>
      </c>
      <c r="M786" s="31">
        <v>0</v>
      </c>
      <c r="N786" s="31">
        <v>0</v>
      </c>
      <c r="O786" s="31">
        <v>0</v>
      </c>
      <c r="P786" s="31">
        <v>0</v>
      </c>
      <c r="Q786" s="31">
        <v>0</v>
      </c>
      <c r="R786" s="31">
        <v>0</v>
      </c>
      <c r="S786" s="31">
        <v>0</v>
      </c>
      <c r="T786" s="31">
        <v>0</v>
      </c>
      <c r="U786" s="31">
        <v>0</v>
      </c>
      <c r="V786" s="31">
        <v>0</v>
      </c>
      <c r="W786" s="31">
        <v>0</v>
      </c>
      <c r="X786" s="31">
        <v>0</v>
      </c>
      <c r="Y786" s="31">
        <v>0</v>
      </c>
      <c r="Z786" s="31">
        <v>0</v>
      </c>
      <c r="AA786" s="31">
        <v>0</v>
      </c>
      <c r="AB786" s="31">
        <v>0</v>
      </c>
      <c r="AC786" s="31">
        <v>0</v>
      </c>
      <c r="AD786" s="31">
        <v>100000</v>
      </c>
      <c r="AE786" s="31">
        <v>0</v>
      </c>
      <c r="AF786" s="34">
        <v>2021</v>
      </c>
      <c r="AG786" s="34">
        <v>2021</v>
      </c>
      <c r="AH786" s="35" t="s">
        <v>274</v>
      </c>
      <c r="AT786" s="20" t="e">
        <f t="shared" si="277"/>
        <v>#N/A</v>
      </c>
    </row>
    <row r="787" spans="1:46" ht="61.5" x14ac:dyDescent="0.85">
      <c r="A787" s="20">
        <v>1</v>
      </c>
      <c r="B787" s="66">
        <f>SUBTOTAL(103,$A$567:A787)</f>
        <v>216</v>
      </c>
      <c r="C787" s="24" t="s">
        <v>671</v>
      </c>
      <c r="D787" s="31">
        <f t="shared" si="282"/>
        <v>5495600.0099999998</v>
      </c>
      <c r="E787" s="36">
        <v>0</v>
      </c>
      <c r="F787" s="36">
        <v>0</v>
      </c>
      <c r="G787" s="36">
        <v>0</v>
      </c>
      <c r="H787" s="36">
        <v>0</v>
      </c>
      <c r="I787" s="36">
        <v>0</v>
      </c>
      <c r="J787" s="36">
        <v>0</v>
      </c>
      <c r="K787" s="33">
        <v>0</v>
      </c>
      <c r="L787" s="31">
        <v>0</v>
      </c>
      <c r="M787" s="31">
        <v>1100</v>
      </c>
      <c r="N787" s="31">
        <v>5237044.34</v>
      </c>
      <c r="O787" s="31">
        <v>0</v>
      </c>
      <c r="P787" s="31">
        <v>0</v>
      </c>
      <c r="Q787" s="31">
        <v>0</v>
      </c>
      <c r="R787" s="31">
        <v>0</v>
      </c>
      <c r="S787" s="31">
        <v>0</v>
      </c>
      <c r="T787" s="31">
        <v>0</v>
      </c>
      <c r="U787" s="31">
        <v>0</v>
      </c>
      <c r="V787" s="31">
        <v>0</v>
      </c>
      <c r="W787" s="31">
        <v>0</v>
      </c>
      <c r="X787" s="31">
        <v>0</v>
      </c>
      <c r="Y787" s="31">
        <v>0</v>
      </c>
      <c r="Z787" s="31">
        <v>0</v>
      </c>
      <c r="AA787" s="31">
        <v>0</v>
      </c>
      <c r="AB787" s="31">
        <v>0</v>
      </c>
      <c r="AC787" s="31">
        <f t="shared" ref="AC787:AC788" si="284">ROUND(N787*1.5%,2)</f>
        <v>78555.67</v>
      </c>
      <c r="AD787" s="31">
        <v>180000</v>
      </c>
      <c r="AE787" s="31">
        <v>0</v>
      </c>
      <c r="AF787" s="34">
        <v>2021</v>
      </c>
      <c r="AG787" s="34">
        <v>2021</v>
      </c>
      <c r="AH787" s="35">
        <v>2021</v>
      </c>
      <c r="AT787" s="20" t="e">
        <f t="shared" si="277"/>
        <v>#N/A</v>
      </c>
    </row>
    <row r="788" spans="1:46" ht="61.5" x14ac:dyDescent="0.85">
      <c r="A788" s="20">
        <v>1</v>
      </c>
      <c r="B788" s="66">
        <f>SUBTOTAL(103,$A$567:A788)</f>
        <v>217</v>
      </c>
      <c r="C788" s="24" t="s">
        <v>662</v>
      </c>
      <c r="D788" s="31">
        <f t="shared" si="282"/>
        <v>4364006</v>
      </c>
      <c r="E788" s="36">
        <v>0</v>
      </c>
      <c r="F788" s="36">
        <v>0</v>
      </c>
      <c r="G788" s="36">
        <v>0</v>
      </c>
      <c r="H788" s="36">
        <v>0</v>
      </c>
      <c r="I788" s="36">
        <v>0</v>
      </c>
      <c r="J788" s="36">
        <v>0</v>
      </c>
      <c r="K788" s="33">
        <v>0</v>
      </c>
      <c r="L788" s="31">
        <v>0</v>
      </c>
      <c r="M788" s="31">
        <v>873.5</v>
      </c>
      <c r="N788" s="31">
        <v>4151730.05</v>
      </c>
      <c r="O788" s="31">
        <v>0</v>
      </c>
      <c r="P788" s="31">
        <v>0</v>
      </c>
      <c r="Q788" s="31">
        <v>0</v>
      </c>
      <c r="R788" s="31">
        <v>0</v>
      </c>
      <c r="S788" s="31">
        <v>0</v>
      </c>
      <c r="T788" s="31">
        <v>0</v>
      </c>
      <c r="U788" s="31">
        <v>0</v>
      </c>
      <c r="V788" s="31">
        <v>0</v>
      </c>
      <c r="W788" s="31">
        <v>0</v>
      </c>
      <c r="X788" s="31">
        <v>0</v>
      </c>
      <c r="Y788" s="31">
        <v>0</v>
      </c>
      <c r="Z788" s="31">
        <v>0</v>
      </c>
      <c r="AA788" s="31">
        <v>0</v>
      </c>
      <c r="AB788" s="31">
        <v>0</v>
      </c>
      <c r="AC788" s="31">
        <f t="shared" si="284"/>
        <v>62275.95</v>
      </c>
      <c r="AD788" s="31">
        <v>150000</v>
      </c>
      <c r="AE788" s="31">
        <v>0</v>
      </c>
      <c r="AF788" s="34">
        <v>2021</v>
      </c>
      <c r="AG788" s="34">
        <v>2021</v>
      </c>
      <c r="AH788" s="35">
        <v>2021</v>
      </c>
      <c r="AT788" s="20" t="e">
        <f t="shared" si="277"/>
        <v>#N/A</v>
      </c>
    </row>
    <row r="789" spans="1:46" ht="61.5" x14ac:dyDescent="0.85">
      <c r="A789" s="20">
        <v>1</v>
      </c>
      <c r="B789" s="66">
        <f>SUBTOTAL(103,$A$567:A789)</f>
        <v>218</v>
      </c>
      <c r="C789" s="24" t="s">
        <v>1696</v>
      </c>
      <c r="D789" s="31">
        <f>E789+F789+G789+H789+I789+J789+L789+N789+P789+R789+T789+U789+V789+W789+X789+Y789+Z789+AA789+AB789+AC789+AD789+AE789</f>
        <v>3850862.6100000003</v>
      </c>
      <c r="E789" s="31">
        <v>0</v>
      </c>
      <c r="F789" s="31">
        <v>0</v>
      </c>
      <c r="G789" s="31">
        <v>0</v>
      </c>
      <c r="H789" s="31">
        <v>0</v>
      </c>
      <c r="I789" s="31">
        <v>0</v>
      </c>
      <c r="J789" s="31">
        <v>0</v>
      </c>
      <c r="K789" s="33">
        <v>0</v>
      </c>
      <c r="L789" s="31">
        <v>0</v>
      </c>
      <c r="M789" s="31">
        <v>766</v>
      </c>
      <c r="N789" s="31">
        <f>3812708.18-206610.58+59776.89</f>
        <v>3665874.49</v>
      </c>
      <c r="O789" s="31">
        <v>0</v>
      </c>
      <c r="P789" s="31">
        <v>0</v>
      </c>
      <c r="Q789" s="31">
        <v>0</v>
      </c>
      <c r="R789" s="31">
        <v>0</v>
      </c>
      <c r="S789" s="31">
        <v>0</v>
      </c>
      <c r="T789" s="31">
        <v>0</v>
      </c>
      <c r="U789" s="31">
        <v>0</v>
      </c>
      <c r="V789" s="31">
        <v>0</v>
      </c>
      <c r="W789" s="31">
        <v>0</v>
      </c>
      <c r="X789" s="31">
        <v>0</v>
      </c>
      <c r="Y789" s="31">
        <v>0</v>
      </c>
      <c r="Z789" s="31">
        <v>0</v>
      </c>
      <c r="AA789" s="31">
        <v>0</v>
      </c>
      <c r="AB789" s="31">
        <v>0</v>
      </c>
      <c r="AC789" s="31">
        <f>ROUND(N789*1.5%,2)</f>
        <v>54988.12</v>
      </c>
      <c r="AD789" s="31">
        <v>130000</v>
      </c>
      <c r="AE789" s="31">
        <v>0</v>
      </c>
      <c r="AF789" s="34">
        <v>2021</v>
      </c>
      <c r="AG789" s="34">
        <v>2021</v>
      </c>
      <c r="AH789" s="35">
        <v>2021</v>
      </c>
    </row>
    <row r="790" spans="1:46" ht="61.5" x14ac:dyDescent="0.85">
      <c r="B790" s="24" t="s">
        <v>859</v>
      </c>
      <c r="C790" s="24"/>
      <c r="D790" s="31">
        <f t="shared" ref="D790:AE790" si="285">SUM(D791:D792)</f>
        <v>10075097.600000001</v>
      </c>
      <c r="E790" s="31">
        <f t="shared" si="285"/>
        <v>0</v>
      </c>
      <c r="F790" s="31">
        <f t="shared" si="285"/>
        <v>0</v>
      </c>
      <c r="G790" s="31">
        <f t="shared" si="285"/>
        <v>0</v>
      </c>
      <c r="H790" s="31">
        <f t="shared" si="285"/>
        <v>0</v>
      </c>
      <c r="I790" s="31">
        <f t="shared" si="285"/>
        <v>0</v>
      </c>
      <c r="J790" s="31">
        <f t="shared" si="285"/>
        <v>0</v>
      </c>
      <c r="K790" s="33">
        <f t="shared" si="285"/>
        <v>0</v>
      </c>
      <c r="L790" s="31">
        <f t="shared" si="285"/>
        <v>0</v>
      </c>
      <c r="M790" s="31">
        <f t="shared" si="285"/>
        <v>1978.1</v>
      </c>
      <c r="N790" s="31">
        <f t="shared" si="285"/>
        <v>9601081.379999999</v>
      </c>
      <c r="O790" s="31">
        <f t="shared" si="285"/>
        <v>0</v>
      </c>
      <c r="P790" s="31">
        <f t="shared" si="285"/>
        <v>0</v>
      </c>
      <c r="Q790" s="31">
        <f t="shared" si="285"/>
        <v>0</v>
      </c>
      <c r="R790" s="31">
        <f t="shared" si="285"/>
        <v>0</v>
      </c>
      <c r="S790" s="31">
        <f t="shared" si="285"/>
        <v>0</v>
      </c>
      <c r="T790" s="31">
        <f t="shared" si="285"/>
        <v>0</v>
      </c>
      <c r="U790" s="31">
        <f t="shared" si="285"/>
        <v>0</v>
      </c>
      <c r="V790" s="31">
        <f t="shared" si="285"/>
        <v>0</v>
      </c>
      <c r="W790" s="31">
        <f t="shared" si="285"/>
        <v>0</v>
      </c>
      <c r="X790" s="31">
        <f t="shared" si="285"/>
        <v>0</v>
      </c>
      <c r="Y790" s="31">
        <f t="shared" si="285"/>
        <v>0</v>
      </c>
      <c r="Z790" s="31">
        <f t="shared" si="285"/>
        <v>0</v>
      </c>
      <c r="AA790" s="31">
        <f t="shared" si="285"/>
        <v>0</v>
      </c>
      <c r="AB790" s="31">
        <f t="shared" si="285"/>
        <v>0</v>
      </c>
      <c r="AC790" s="31">
        <f t="shared" si="285"/>
        <v>144016.22</v>
      </c>
      <c r="AD790" s="31">
        <f t="shared" si="285"/>
        <v>330000</v>
      </c>
      <c r="AE790" s="31">
        <f t="shared" si="285"/>
        <v>0</v>
      </c>
      <c r="AF790" s="72" t="s">
        <v>794</v>
      </c>
      <c r="AG790" s="72" t="s">
        <v>794</v>
      </c>
      <c r="AH790" s="91" t="s">
        <v>794</v>
      </c>
      <c r="AT790" s="20" t="e">
        <f t="shared" ref="AT790:AT820" si="286">VLOOKUP(C790,AW:AX,2,FALSE)</f>
        <v>#N/A</v>
      </c>
    </row>
    <row r="791" spans="1:46" ht="61.5" x14ac:dyDescent="0.85">
      <c r="A791" s="20">
        <v>1</v>
      </c>
      <c r="B791" s="66">
        <f>SUBTOTAL(103,$A$567:A791)</f>
        <v>219</v>
      </c>
      <c r="C791" s="24" t="s">
        <v>680</v>
      </c>
      <c r="D791" s="31">
        <f t="shared" ref="D791:D792" si="287">E791+F791+G791+H791+I791+J791+L791+N791+P791+R791+T791+U791+V791+W791+X791+Y791+Z791+AA791+AB791+AC791+AD791+AE791</f>
        <v>5608010</v>
      </c>
      <c r="E791" s="36">
        <v>0</v>
      </c>
      <c r="F791" s="36">
        <v>0</v>
      </c>
      <c r="G791" s="36">
        <v>0</v>
      </c>
      <c r="H791" s="36">
        <v>0</v>
      </c>
      <c r="I791" s="36">
        <v>0</v>
      </c>
      <c r="J791" s="36">
        <v>0</v>
      </c>
      <c r="K791" s="33">
        <v>0</v>
      </c>
      <c r="L791" s="31">
        <v>0</v>
      </c>
      <c r="M791" s="31">
        <v>1122.5</v>
      </c>
      <c r="N791" s="31">
        <v>5347793.0999999996</v>
      </c>
      <c r="O791" s="31">
        <v>0</v>
      </c>
      <c r="P791" s="31">
        <v>0</v>
      </c>
      <c r="Q791" s="31">
        <v>0</v>
      </c>
      <c r="R791" s="31">
        <v>0</v>
      </c>
      <c r="S791" s="31">
        <v>0</v>
      </c>
      <c r="T791" s="31">
        <v>0</v>
      </c>
      <c r="U791" s="31">
        <v>0</v>
      </c>
      <c r="V791" s="31">
        <v>0</v>
      </c>
      <c r="W791" s="31">
        <v>0</v>
      </c>
      <c r="X791" s="31">
        <v>0</v>
      </c>
      <c r="Y791" s="31">
        <v>0</v>
      </c>
      <c r="Z791" s="31">
        <v>0</v>
      </c>
      <c r="AA791" s="31">
        <v>0</v>
      </c>
      <c r="AB791" s="31">
        <v>0</v>
      </c>
      <c r="AC791" s="31">
        <f t="shared" ref="AC791:AC792" si="288">ROUND(N791*1.5%,2)</f>
        <v>80216.899999999994</v>
      </c>
      <c r="AD791" s="31">
        <v>180000</v>
      </c>
      <c r="AE791" s="31">
        <v>0</v>
      </c>
      <c r="AF791" s="34">
        <v>2021</v>
      </c>
      <c r="AG791" s="34">
        <v>2021</v>
      </c>
      <c r="AH791" s="35">
        <v>2021</v>
      </c>
      <c r="AT791" s="20" t="e">
        <f t="shared" si="286"/>
        <v>#N/A</v>
      </c>
    </row>
    <row r="792" spans="1:46" ht="61.5" x14ac:dyDescent="0.85">
      <c r="A792" s="20">
        <v>1</v>
      </c>
      <c r="B792" s="66">
        <f>SUBTOTAL(103,$A$567:A792)</f>
        <v>220</v>
      </c>
      <c r="C792" s="24" t="s">
        <v>677</v>
      </c>
      <c r="D792" s="31">
        <f t="shared" si="287"/>
        <v>4467087.6000000006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  <c r="J792" s="36">
        <v>0</v>
      </c>
      <c r="K792" s="33">
        <v>0</v>
      </c>
      <c r="L792" s="31">
        <v>0</v>
      </c>
      <c r="M792" s="31">
        <v>855.6</v>
      </c>
      <c r="N792" s="31">
        <v>4253288.28</v>
      </c>
      <c r="O792" s="31">
        <v>0</v>
      </c>
      <c r="P792" s="31">
        <v>0</v>
      </c>
      <c r="Q792" s="31">
        <v>0</v>
      </c>
      <c r="R792" s="31">
        <v>0</v>
      </c>
      <c r="S792" s="31">
        <v>0</v>
      </c>
      <c r="T792" s="31">
        <v>0</v>
      </c>
      <c r="U792" s="31">
        <v>0</v>
      </c>
      <c r="V792" s="31">
        <v>0</v>
      </c>
      <c r="W792" s="31">
        <v>0</v>
      </c>
      <c r="X792" s="31">
        <v>0</v>
      </c>
      <c r="Y792" s="31">
        <v>0</v>
      </c>
      <c r="Z792" s="31">
        <v>0</v>
      </c>
      <c r="AA792" s="31">
        <v>0</v>
      </c>
      <c r="AB792" s="31">
        <v>0</v>
      </c>
      <c r="AC792" s="31">
        <f t="shared" si="288"/>
        <v>63799.32</v>
      </c>
      <c r="AD792" s="31">
        <v>150000</v>
      </c>
      <c r="AE792" s="31">
        <v>0</v>
      </c>
      <c r="AF792" s="34">
        <v>2021</v>
      </c>
      <c r="AG792" s="34">
        <v>2021</v>
      </c>
      <c r="AH792" s="35">
        <v>2021</v>
      </c>
      <c r="AT792" s="20" t="e">
        <f t="shared" si="286"/>
        <v>#N/A</v>
      </c>
    </row>
    <row r="793" spans="1:46" ht="61.5" x14ac:dyDescent="0.85">
      <c r="B793" s="24" t="s">
        <v>860</v>
      </c>
      <c r="C793" s="24"/>
      <c r="D793" s="31">
        <f t="shared" ref="D793:AE793" si="289">SUM(D794:D797)</f>
        <v>13069363.829999998</v>
      </c>
      <c r="E793" s="31">
        <f t="shared" si="289"/>
        <v>0</v>
      </c>
      <c r="F793" s="31">
        <f t="shared" si="289"/>
        <v>0</v>
      </c>
      <c r="G793" s="31">
        <f t="shared" si="289"/>
        <v>0</v>
      </c>
      <c r="H793" s="31">
        <f t="shared" si="289"/>
        <v>0</v>
      </c>
      <c r="I793" s="31">
        <f t="shared" si="289"/>
        <v>0</v>
      </c>
      <c r="J793" s="31">
        <f t="shared" si="289"/>
        <v>0</v>
      </c>
      <c r="K793" s="33">
        <f t="shared" si="289"/>
        <v>0</v>
      </c>
      <c r="L793" s="31">
        <f t="shared" si="289"/>
        <v>0</v>
      </c>
      <c r="M793" s="31">
        <f t="shared" si="289"/>
        <v>2503.23</v>
      </c>
      <c r="N793" s="31">
        <f t="shared" si="289"/>
        <v>12314644.17</v>
      </c>
      <c r="O793" s="31">
        <f t="shared" si="289"/>
        <v>0</v>
      </c>
      <c r="P793" s="31">
        <f t="shared" si="289"/>
        <v>0</v>
      </c>
      <c r="Q793" s="31">
        <f t="shared" si="289"/>
        <v>0</v>
      </c>
      <c r="R793" s="31">
        <f t="shared" si="289"/>
        <v>0</v>
      </c>
      <c r="S793" s="31">
        <f t="shared" si="289"/>
        <v>0</v>
      </c>
      <c r="T793" s="31">
        <f t="shared" si="289"/>
        <v>0</v>
      </c>
      <c r="U793" s="31">
        <f t="shared" si="289"/>
        <v>0</v>
      </c>
      <c r="V793" s="31">
        <f t="shared" si="289"/>
        <v>0</v>
      </c>
      <c r="W793" s="31">
        <f t="shared" si="289"/>
        <v>0</v>
      </c>
      <c r="X793" s="31">
        <f t="shared" si="289"/>
        <v>0</v>
      </c>
      <c r="Y793" s="31">
        <f t="shared" si="289"/>
        <v>0</v>
      </c>
      <c r="Z793" s="31">
        <f t="shared" si="289"/>
        <v>0</v>
      </c>
      <c r="AA793" s="31">
        <f t="shared" si="289"/>
        <v>0</v>
      </c>
      <c r="AB793" s="31">
        <f t="shared" si="289"/>
        <v>0</v>
      </c>
      <c r="AC793" s="31">
        <f t="shared" si="289"/>
        <v>184719.65999999997</v>
      </c>
      <c r="AD793" s="31">
        <f t="shared" si="289"/>
        <v>570000</v>
      </c>
      <c r="AE793" s="31">
        <f t="shared" si="289"/>
        <v>0</v>
      </c>
      <c r="AF793" s="72" t="s">
        <v>794</v>
      </c>
      <c r="AG793" s="72" t="s">
        <v>794</v>
      </c>
      <c r="AH793" s="91" t="s">
        <v>794</v>
      </c>
      <c r="AT793" s="20" t="e">
        <f t="shared" si="286"/>
        <v>#N/A</v>
      </c>
    </row>
    <row r="794" spans="1:46" ht="61.5" x14ac:dyDescent="0.85">
      <c r="A794" s="20">
        <v>1</v>
      </c>
      <c r="B794" s="66">
        <f>SUBTOTAL(103,$A$567:A794)</f>
        <v>221</v>
      </c>
      <c r="C794" s="24" t="s">
        <v>685</v>
      </c>
      <c r="D794" s="31">
        <f t="shared" ref="D794:D797" si="290">E794+F794+G794+H794+I794+J794+L794+N794+P794+R794+T794+U794+V794+W794+X794+Y794+Z794+AA794+AB794+AC794+AD794+AE794</f>
        <v>1801245</v>
      </c>
      <c r="E794" s="36">
        <v>0</v>
      </c>
      <c r="F794" s="36">
        <v>0</v>
      </c>
      <c r="G794" s="36">
        <v>0</v>
      </c>
      <c r="H794" s="36">
        <v>0</v>
      </c>
      <c r="I794" s="36">
        <v>0</v>
      </c>
      <c r="J794" s="36">
        <v>0</v>
      </c>
      <c r="K794" s="33">
        <v>0</v>
      </c>
      <c r="L794" s="31">
        <v>0</v>
      </c>
      <c r="M794" s="31">
        <v>345</v>
      </c>
      <c r="N794" s="31">
        <v>1656399.01</v>
      </c>
      <c r="O794" s="31">
        <v>0</v>
      </c>
      <c r="P794" s="31">
        <v>0</v>
      </c>
      <c r="Q794" s="31">
        <v>0</v>
      </c>
      <c r="R794" s="31">
        <v>0</v>
      </c>
      <c r="S794" s="31">
        <v>0</v>
      </c>
      <c r="T794" s="31">
        <v>0</v>
      </c>
      <c r="U794" s="31">
        <v>0</v>
      </c>
      <c r="V794" s="31">
        <v>0</v>
      </c>
      <c r="W794" s="31">
        <v>0</v>
      </c>
      <c r="X794" s="31">
        <v>0</v>
      </c>
      <c r="Y794" s="31">
        <v>0</v>
      </c>
      <c r="Z794" s="31">
        <v>0</v>
      </c>
      <c r="AA794" s="31">
        <v>0</v>
      </c>
      <c r="AB794" s="31">
        <v>0</v>
      </c>
      <c r="AC794" s="31">
        <f t="shared" ref="AC794:AC797" si="291">ROUND(N794*1.5%,2)</f>
        <v>24845.99</v>
      </c>
      <c r="AD794" s="31">
        <v>120000</v>
      </c>
      <c r="AE794" s="31">
        <v>0</v>
      </c>
      <c r="AF794" s="34">
        <v>2021</v>
      </c>
      <c r="AG794" s="34">
        <v>2021</v>
      </c>
      <c r="AH794" s="35">
        <v>2021</v>
      </c>
      <c r="AT794" s="20" t="e">
        <f t="shared" si="286"/>
        <v>#N/A</v>
      </c>
    </row>
    <row r="795" spans="1:46" ht="61.5" x14ac:dyDescent="0.85">
      <c r="A795" s="20">
        <v>1</v>
      </c>
      <c r="B795" s="66">
        <f>SUBTOTAL(103,$A$567:A795)</f>
        <v>222</v>
      </c>
      <c r="C795" s="24" t="s">
        <v>686</v>
      </c>
      <c r="D795" s="31">
        <f t="shared" si="290"/>
        <v>4223945.63</v>
      </c>
      <c r="E795" s="36">
        <v>0</v>
      </c>
      <c r="F795" s="36">
        <v>0</v>
      </c>
      <c r="G795" s="36">
        <v>0</v>
      </c>
      <c r="H795" s="36">
        <v>0</v>
      </c>
      <c r="I795" s="36">
        <v>0</v>
      </c>
      <c r="J795" s="36">
        <v>0</v>
      </c>
      <c r="K795" s="33">
        <v>0</v>
      </c>
      <c r="L795" s="31">
        <v>0</v>
      </c>
      <c r="M795" s="31">
        <v>809.03</v>
      </c>
      <c r="N795" s="31">
        <v>4013739.54</v>
      </c>
      <c r="O795" s="31">
        <v>0</v>
      </c>
      <c r="P795" s="31">
        <v>0</v>
      </c>
      <c r="Q795" s="31">
        <v>0</v>
      </c>
      <c r="R795" s="31">
        <v>0</v>
      </c>
      <c r="S795" s="31">
        <v>0</v>
      </c>
      <c r="T795" s="31">
        <v>0</v>
      </c>
      <c r="U795" s="31">
        <v>0</v>
      </c>
      <c r="V795" s="31">
        <v>0</v>
      </c>
      <c r="W795" s="31">
        <v>0</v>
      </c>
      <c r="X795" s="31">
        <v>0</v>
      </c>
      <c r="Y795" s="31">
        <v>0</v>
      </c>
      <c r="Z795" s="31">
        <v>0</v>
      </c>
      <c r="AA795" s="31">
        <v>0</v>
      </c>
      <c r="AB795" s="31">
        <v>0</v>
      </c>
      <c r="AC795" s="31">
        <f t="shared" si="291"/>
        <v>60206.09</v>
      </c>
      <c r="AD795" s="31">
        <v>150000</v>
      </c>
      <c r="AE795" s="31">
        <v>0</v>
      </c>
      <c r="AF795" s="34">
        <v>2021</v>
      </c>
      <c r="AG795" s="34">
        <v>2021</v>
      </c>
      <c r="AH795" s="35">
        <v>2021</v>
      </c>
      <c r="AT795" s="20" t="e">
        <f t="shared" si="286"/>
        <v>#N/A</v>
      </c>
    </row>
    <row r="796" spans="1:46" ht="61.5" x14ac:dyDescent="0.85">
      <c r="A796" s="20">
        <v>1</v>
      </c>
      <c r="B796" s="66">
        <f>SUBTOTAL(103,$A$567:A796)</f>
        <v>223</v>
      </c>
      <c r="C796" s="24" t="s">
        <v>687</v>
      </c>
      <c r="D796" s="31">
        <f t="shared" si="290"/>
        <v>3905308</v>
      </c>
      <c r="E796" s="36">
        <v>0</v>
      </c>
      <c r="F796" s="36">
        <v>0</v>
      </c>
      <c r="G796" s="36">
        <v>0</v>
      </c>
      <c r="H796" s="36">
        <v>0</v>
      </c>
      <c r="I796" s="36">
        <v>0</v>
      </c>
      <c r="J796" s="36">
        <v>0</v>
      </c>
      <c r="K796" s="33">
        <v>0</v>
      </c>
      <c r="L796" s="31">
        <v>0</v>
      </c>
      <c r="M796" s="31">
        <v>748</v>
      </c>
      <c r="N796" s="31">
        <v>3699810.84</v>
      </c>
      <c r="O796" s="31">
        <v>0</v>
      </c>
      <c r="P796" s="31">
        <v>0</v>
      </c>
      <c r="Q796" s="31">
        <v>0</v>
      </c>
      <c r="R796" s="31">
        <v>0</v>
      </c>
      <c r="S796" s="31">
        <v>0</v>
      </c>
      <c r="T796" s="31">
        <v>0</v>
      </c>
      <c r="U796" s="31">
        <v>0</v>
      </c>
      <c r="V796" s="31">
        <v>0</v>
      </c>
      <c r="W796" s="31">
        <v>0</v>
      </c>
      <c r="X796" s="31">
        <v>0</v>
      </c>
      <c r="Y796" s="31">
        <v>0</v>
      </c>
      <c r="Z796" s="31">
        <v>0</v>
      </c>
      <c r="AA796" s="31">
        <v>0</v>
      </c>
      <c r="AB796" s="31">
        <v>0</v>
      </c>
      <c r="AC796" s="31">
        <f t="shared" si="291"/>
        <v>55497.16</v>
      </c>
      <c r="AD796" s="31">
        <v>150000</v>
      </c>
      <c r="AE796" s="31">
        <v>0</v>
      </c>
      <c r="AF796" s="34">
        <v>2021</v>
      </c>
      <c r="AG796" s="34">
        <v>2021</v>
      </c>
      <c r="AH796" s="35">
        <v>2021</v>
      </c>
      <c r="AT796" s="20" t="e">
        <f t="shared" si="286"/>
        <v>#N/A</v>
      </c>
    </row>
    <row r="797" spans="1:46" ht="61.5" x14ac:dyDescent="0.85">
      <c r="A797" s="20">
        <v>1</v>
      </c>
      <c r="B797" s="66">
        <f>SUBTOTAL(103,$A$567:A797)</f>
        <v>224</v>
      </c>
      <c r="C797" s="24" t="s">
        <v>684</v>
      </c>
      <c r="D797" s="31">
        <f t="shared" si="290"/>
        <v>3138865.1999999997</v>
      </c>
      <c r="E797" s="36">
        <v>0</v>
      </c>
      <c r="F797" s="36">
        <v>0</v>
      </c>
      <c r="G797" s="36">
        <v>0</v>
      </c>
      <c r="H797" s="36">
        <v>0</v>
      </c>
      <c r="I797" s="36">
        <v>0</v>
      </c>
      <c r="J797" s="36">
        <v>0</v>
      </c>
      <c r="K797" s="33">
        <v>0</v>
      </c>
      <c r="L797" s="31">
        <v>0</v>
      </c>
      <c r="M797" s="31">
        <v>601.20000000000005</v>
      </c>
      <c r="N797" s="31">
        <v>2944694.78</v>
      </c>
      <c r="O797" s="31">
        <v>0</v>
      </c>
      <c r="P797" s="31">
        <v>0</v>
      </c>
      <c r="Q797" s="31">
        <v>0</v>
      </c>
      <c r="R797" s="31">
        <v>0</v>
      </c>
      <c r="S797" s="31">
        <v>0</v>
      </c>
      <c r="T797" s="31">
        <v>0</v>
      </c>
      <c r="U797" s="31">
        <v>0</v>
      </c>
      <c r="V797" s="31">
        <v>0</v>
      </c>
      <c r="W797" s="31">
        <v>0</v>
      </c>
      <c r="X797" s="31">
        <v>0</v>
      </c>
      <c r="Y797" s="31">
        <v>0</v>
      </c>
      <c r="Z797" s="31">
        <v>0</v>
      </c>
      <c r="AA797" s="31">
        <v>0</v>
      </c>
      <c r="AB797" s="31">
        <v>0</v>
      </c>
      <c r="AC797" s="31">
        <f t="shared" si="291"/>
        <v>44170.42</v>
      </c>
      <c r="AD797" s="31">
        <v>150000</v>
      </c>
      <c r="AE797" s="31">
        <v>0</v>
      </c>
      <c r="AF797" s="34">
        <v>2021</v>
      </c>
      <c r="AG797" s="34">
        <v>2021</v>
      </c>
      <c r="AH797" s="35">
        <v>2021</v>
      </c>
      <c r="AT797" s="20" t="e">
        <f t="shared" si="286"/>
        <v>#N/A</v>
      </c>
    </row>
    <row r="798" spans="1:46" ht="61.5" x14ac:dyDescent="0.85">
      <c r="B798" s="24" t="s">
        <v>861</v>
      </c>
      <c r="C798" s="24"/>
      <c r="D798" s="31">
        <f>SUM(D799:D800)</f>
        <v>9045880.0099999998</v>
      </c>
      <c r="E798" s="31">
        <f t="shared" ref="E798:AE798" si="292">SUM(E799:E800)</f>
        <v>0</v>
      </c>
      <c r="F798" s="31">
        <f t="shared" si="292"/>
        <v>0</v>
      </c>
      <c r="G798" s="31">
        <f t="shared" si="292"/>
        <v>0</v>
      </c>
      <c r="H798" s="31">
        <f t="shared" si="292"/>
        <v>0</v>
      </c>
      <c r="I798" s="31">
        <f t="shared" si="292"/>
        <v>0</v>
      </c>
      <c r="J798" s="31">
        <f t="shared" si="292"/>
        <v>0</v>
      </c>
      <c r="K798" s="33">
        <f t="shared" si="292"/>
        <v>0</v>
      </c>
      <c r="L798" s="31">
        <f t="shared" si="292"/>
        <v>0</v>
      </c>
      <c r="M798" s="31">
        <f t="shared" si="292"/>
        <v>1780</v>
      </c>
      <c r="N798" s="31">
        <f t="shared" si="292"/>
        <v>8587073.9000000004</v>
      </c>
      <c r="O798" s="31">
        <f t="shared" si="292"/>
        <v>0</v>
      </c>
      <c r="P798" s="31">
        <f t="shared" si="292"/>
        <v>0</v>
      </c>
      <c r="Q798" s="31">
        <f t="shared" si="292"/>
        <v>0</v>
      </c>
      <c r="R798" s="31">
        <f t="shared" si="292"/>
        <v>0</v>
      </c>
      <c r="S798" s="31">
        <f t="shared" si="292"/>
        <v>0</v>
      </c>
      <c r="T798" s="31">
        <f t="shared" si="292"/>
        <v>0</v>
      </c>
      <c r="U798" s="31">
        <f t="shared" si="292"/>
        <v>0</v>
      </c>
      <c r="V798" s="31">
        <f t="shared" si="292"/>
        <v>0</v>
      </c>
      <c r="W798" s="31">
        <f t="shared" si="292"/>
        <v>0</v>
      </c>
      <c r="X798" s="31">
        <f t="shared" si="292"/>
        <v>0</v>
      </c>
      <c r="Y798" s="31">
        <f t="shared" si="292"/>
        <v>0</v>
      </c>
      <c r="Z798" s="31">
        <f t="shared" si="292"/>
        <v>0</v>
      </c>
      <c r="AA798" s="31">
        <f t="shared" si="292"/>
        <v>0</v>
      </c>
      <c r="AB798" s="31">
        <f t="shared" si="292"/>
        <v>0</v>
      </c>
      <c r="AC798" s="31">
        <f t="shared" si="292"/>
        <v>128806.11</v>
      </c>
      <c r="AD798" s="31">
        <f t="shared" si="292"/>
        <v>330000</v>
      </c>
      <c r="AE798" s="31">
        <f t="shared" si="292"/>
        <v>0</v>
      </c>
      <c r="AF798" s="72" t="s">
        <v>794</v>
      </c>
      <c r="AG798" s="72" t="s">
        <v>794</v>
      </c>
      <c r="AH798" s="91" t="s">
        <v>794</v>
      </c>
      <c r="AT798" s="20" t="e">
        <f t="shared" si="286"/>
        <v>#N/A</v>
      </c>
    </row>
    <row r="799" spans="1:46" ht="61.5" x14ac:dyDescent="0.85">
      <c r="A799" s="20">
        <v>1</v>
      </c>
      <c r="B799" s="66">
        <f>SUBTOTAL(103,$A$567:A799)</f>
        <v>225</v>
      </c>
      <c r="C799" s="24" t="s">
        <v>692</v>
      </c>
      <c r="D799" s="31">
        <f t="shared" ref="D799" si="293">E799+F799+G799+H799+I799+J799+L799+N799+P799+R799+T799+U799+V799+W799+X799+Y799+Z799+AA799+AB799+AC799+AD799+AE799</f>
        <v>3550280</v>
      </c>
      <c r="E799" s="36">
        <v>0</v>
      </c>
      <c r="F799" s="36">
        <v>0</v>
      </c>
      <c r="G799" s="36">
        <v>0</v>
      </c>
      <c r="H799" s="36">
        <v>0</v>
      </c>
      <c r="I799" s="36">
        <v>0</v>
      </c>
      <c r="J799" s="36">
        <v>0</v>
      </c>
      <c r="K799" s="33">
        <v>0</v>
      </c>
      <c r="L799" s="31">
        <v>0</v>
      </c>
      <c r="M799" s="31">
        <v>680</v>
      </c>
      <c r="N799" s="31">
        <v>3350029.56</v>
      </c>
      <c r="O799" s="31">
        <v>0</v>
      </c>
      <c r="P799" s="31">
        <v>0</v>
      </c>
      <c r="Q799" s="31">
        <v>0</v>
      </c>
      <c r="R799" s="31">
        <v>0</v>
      </c>
      <c r="S799" s="31">
        <v>0</v>
      </c>
      <c r="T799" s="31">
        <v>0</v>
      </c>
      <c r="U799" s="31">
        <v>0</v>
      </c>
      <c r="V799" s="31">
        <v>0</v>
      </c>
      <c r="W799" s="31">
        <v>0</v>
      </c>
      <c r="X799" s="31">
        <v>0</v>
      </c>
      <c r="Y799" s="31">
        <v>0</v>
      </c>
      <c r="Z799" s="31">
        <v>0</v>
      </c>
      <c r="AA799" s="31">
        <v>0</v>
      </c>
      <c r="AB799" s="31">
        <v>0</v>
      </c>
      <c r="AC799" s="31">
        <f t="shared" ref="AC799" si="294">ROUND(N799*1.5%,2)</f>
        <v>50250.44</v>
      </c>
      <c r="AD799" s="31">
        <v>150000</v>
      </c>
      <c r="AE799" s="31">
        <v>0</v>
      </c>
      <c r="AF799" s="34">
        <v>2021</v>
      </c>
      <c r="AG799" s="34">
        <v>2021</v>
      </c>
      <c r="AH799" s="35">
        <v>2021</v>
      </c>
      <c r="AT799" s="20" t="e">
        <f t="shared" si="286"/>
        <v>#N/A</v>
      </c>
    </row>
    <row r="800" spans="1:46" ht="61.5" x14ac:dyDescent="0.85">
      <c r="A800" s="20">
        <v>1</v>
      </c>
      <c r="B800" s="66">
        <f>SUBTOTAL(103,$A$567:A800)</f>
        <v>226</v>
      </c>
      <c r="C800" s="24" t="s">
        <v>695</v>
      </c>
      <c r="D800" s="31">
        <f>E800+F800+G800+H800+I800+J800+L800+N800+P800+R800+T800+U800+V800+W800+X800+Y800+Z800+AA800+AB800+AC800+AD800+AE800</f>
        <v>5495600.0099999998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0</v>
      </c>
      <c r="K800" s="87">
        <v>0</v>
      </c>
      <c r="L800" s="38">
        <v>0</v>
      </c>
      <c r="M800" s="31">
        <v>1100</v>
      </c>
      <c r="N800" s="31">
        <v>5237044.34</v>
      </c>
      <c r="O800" s="31">
        <v>0</v>
      </c>
      <c r="P800" s="31">
        <v>0</v>
      </c>
      <c r="Q800" s="31">
        <v>0</v>
      </c>
      <c r="R800" s="31">
        <v>0</v>
      </c>
      <c r="S800" s="31">
        <v>0</v>
      </c>
      <c r="T800" s="31">
        <v>0</v>
      </c>
      <c r="U800" s="31">
        <v>0</v>
      </c>
      <c r="V800" s="31">
        <v>0</v>
      </c>
      <c r="W800" s="31">
        <v>0</v>
      </c>
      <c r="X800" s="31">
        <v>0</v>
      </c>
      <c r="Y800" s="31">
        <v>0</v>
      </c>
      <c r="Z800" s="31">
        <v>0</v>
      </c>
      <c r="AA800" s="31">
        <v>0</v>
      </c>
      <c r="AB800" s="31">
        <v>0</v>
      </c>
      <c r="AC800" s="31">
        <f>ROUND(N800*1.5%,2)</f>
        <v>78555.67</v>
      </c>
      <c r="AD800" s="31">
        <v>180000</v>
      </c>
      <c r="AE800" s="31">
        <v>0</v>
      </c>
      <c r="AF800" s="34">
        <v>2021</v>
      </c>
      <c r="AG800" s="34">
        <v>2021</v>
      </c>
      <c r="AH800" s="35">
        <v>2021</v>
      </c>
      <c r="AT800" s="20" t="e">
        <f t="shared" si="286"/>
        <v>#N/A</v>
      </c>
    </row>
    <row r="801" spans="1:46" ht="61.5" x14ac:dyDescent="0.85">
      <c r="B801" s="24" t="s">
        <v>862</v>
      </c>
      <c r="C801" s="117"/>
      <c r="D801" s="31">
        <f>SUM(D802:D802)</f>
        <v>2579501.7000000002</v>
      </c>
      <c r="E801" s="31">
        <f t="shared" ref="E801:AE801" si="295">SUM(E802:E802)</f>
        <v>0</v>
      </c>
      <c r="F801" s="31">
        <f t="shared" si="295"/>
        <v>0</v>
      </c>
      <c r="G801" s="31">
        <f t="shared" si="295"/>
        <v>0</v>
      </c>
      <c r="H801" s="31">
        <f t="shared" si="295"/>
        <v>0</v>
      </c>
      <c r="I801" s="31">
        <f t="shared" si="295"/>
        <v>0</v>
      </c>
      <c r="J801" s="31">
        <f t="shared" si="295"/>
        <v>0</v>
      </c>
      <c r="K801" s="33">
        <f t="shared" si="295"/>
        <v>0</v>
      </c>
      <c r="L801" s="31">
        <f t="shared" si="295"/>
        <v>0</v>
      </c>
      <c r="M801" s="31">
        <f t="shared" si="295"/>
        <v>900</v>
      </c>
      <c r="N801" s="31">
        <f t="shared" si="295"/>
        <v>2393597.73</v>
      </c>
      <c r="O801" s="31">
        <f t="shared" si="295"/>
        <v>0</v>
      </c>
      <c r="P801" s="31">
        <f t="shared" si="295"/>
        <v>0</v>
      </c>
      <c r="Q801" s="31">
        <f t="shared" si="295"/>
        <v>0</v>
      </c>
      <c r="R801" s="31">
        <f t="shared" si="295"/>
        <v>0</v>
      </c>
      <c r="S801" s="31">
        <f t="shared" si="295"/>
        <v>0</v>
      </c>
      <c r="T801" s="31">
        <f t="shared" si="295"/>
        <v>0</v>
      </c>
      <c r="U801" s="31">
        <f t="shared" si="295"/>
        <v>0</v>
      </c>
      <c r="V801" s="31">
        <f t="shared" si="295"/>
        <v>0</v>
      </c>
      <c r="W801" s="31">
        <f t="shared" si="295"/>
        <v>0</v>
      </c>
      <c r="X801" s="31">
        <f t="shared" si="295"/>
        <v>0</v>
      </c>
      <c r="Y801" s="31">
        <f t="shared" si="295"/>
        <v>0</v>
      </c>
      <c r="Z801" s="31">
        <f t="shared" si="295"/>
        <v>0</v>
      </c>
      <c r="AA801" s="31">
        <f t="shared" si="295"/>
        <v>0</v>
      </c>
      <c r="AB801" s="31">
        <f t="shared" si="295"/>
        <v>0</v>
      </c>
      <c r="AC801" s="31">
        <f t="shared" si="295"/>
        <v>35903.97</v>
      </c>
      <c r="AD801" s="31">
        <f t="shared" si="295"/>
        <v>150000</v>
      </c>
      <c r="AE801" s="31">
        <f t="shared" si="295"/>
        <v>0</v>
      </c>
      <c r="AF801" s="72" t="s">
        <v>794</v>
      </c>
      <c r="AG801" s="72" t="s">
        <v>794</v>
      </c>
      <c r="AH801" s="91" t="s">
        <v>794</v>
      </c>
      <c r="AT801" s="20" t="e">
        <f t="shared" si="286"/>
        <v>#N/A</v>
      </c>
    </row>
    <row r="802" spans="1:46" ht="61.5" x14ac:dyDescent="0.85">
      <c r="A802" s="20">
        <v>1</v>
      </c>
      <c r="B802" s="66">
        <f>SUBTOTAL(103,$A$567:A802)</f>
        <v>227</v>
      </c>
      <c r="C802" s="24" t="s">
        <v>802</v>
      </c>
      <c r="D802" s="31">
        <f t="shared" ref="D802" si="296">E802+F802+G802+H802+I802+J802+L802+N802+P802+R802+T802+U802+V802+W802+X802+Y802+Z802+AA802+AB802+AC802+AD802+AE802</f>
        <v>2579501.7000000002</v>
      </c>
      <c r="E802" s="31">
        <v>0</v>
      </c>
      <c r="F802" s="31">
        <v>0</v>
      </c>
      <c r="G802" s="31">
        <v>0</v>
      </c>
      <c r="H802" s="31">
        <v>0</v>
      </c>
      <c r="I802" s="31">
        <v>0</v>
      </c>
      <c r="J802" s="31">
        <v>0</v>
      </c>
      <c r="K802" s="33">
        <v>0</v>
      </c>
      <c r="L802" s="31">
        <v>0</v>
      </c>
      <c r="M802" s="31">
        <v>900</v>
      </c>
      <c r="N802" s="31">
        <v>2393597.73</v>
      </c>
      <c r="O802" s="31">
        <v>0</v>
      </c>
      <c r="P802" s="31">
        <v>0</v>
      </c>
      <c r="Q802" s="31">
        <v>0</v>
      </c>
      <c r="R802" s="31">
        <v>0</v>
      </c>
      <c r="S802" s="31">
        <v>0</v>
      </c>
      <c r="T802" s="31">
        <v>0</v>
      </c>
      <c r="U802" s="31">
        <v>0</v>
      </c>
      <c r="V802" s="31">
        <v>0</v>
      </c>
      <c r="W802" s="31">
        <v>0</v>
      </c>
      <c r="X802" s="31">
        <v>0</v>
      </c>
      <c r="Y802" s="31">
        <v>0</v>
      </c>
      <c r="Z802" s="31">
        <v>0</v>
      </c>
      <c r="AA802" s="31">
        <v>0</v>
      </c>
      <c r="AB802" s="31">
        <v>0</v>
      </c>
      <c r="AC802" s="31">
        <f t="shared" ref="AC802" si="297">ROUND(N802*1.5%,2)</f>
        <v>35903.97</v>
      </c>
      <c r="AD802" s="31">
        <v>150000</v>
      </c>
      <c r="AE802" s="31">
        <v>0</v>
      </c>
      <c r="AF802" s="34">
        <v>2021</v>
      </c>
      <c r="AG802" s="34">
        <v>2021</v>
      </c>
      <c r="AH802" s="35">
        <v>2021</v>
      </c>
      <c r="AT802" s="20" t="e">
        <f t="shared" si="286"/>
        <v>#N/A</v>
      </c>
    </row>
    <row r="803" spans="1:46" ht="61.5" x14ac:dyDescent="0.85">
      <c r="B803" s="24" t="s">
        <v>864</v>
      </c>
      <c r="C803" s="24"/>
      <c r="D803" s="31">
        <f t="shared" ref="D803:AE803" si="298">SUM(D804:D805)</f>
        <v>3008567.42</v>
      </c>
      <c r="E803" s="31">
        <f t="shared" si="298"/>
        <v>0</v>
      </c>
      <c r="F803" s="31">
        <f t="shared" si="298"/>
        <v>0</v>
      </c>
      <c r="G803" s="31">
        <f t="shared" si="298"/>
        <v>0</v>
      </c>
      <c r="H803" s="31">
        <f t="shared" si="298"/>
        <v>0</v>
      </c>
      <c r="I803" s="31">
        <f t="shared" si="298"/>
        <v>357402.65</v>
      </c>
      <c r="J803" s="31">
        <f t="shared" si="298"/>
        <v>0</v>
      </c>
      <c r="K803" s="33">
        <f t="shared" si="298"/>
        <v>0</v>
      </c>
      <c r="L803" s="31">
        <f t="shared" si="298"/>
        <v>0</v>
      </c>
      <c r="M803" s="31">
        <f t="shared" si="298"/>
        <v>644.5</v>
      </c>
      <c r="N803" s="31">
        <f t="shared" si="298"/>
        <v>2419511.06</v>
      </c>
      <c r="O803" s="31">
        <f t="shared" si="298"/>
        <v>0</v>
      </c>
      <c r="P803" s="31">
        <f t="shared" si="298"/>
        <v>0</v>
      </c>
      <c r="Q803" s="31">
        <f t="shared" si="298"/>
        <v>0</v>
      </c>
      <c r="R803" s="31">
        <f t="shared" si="298"/>
        <v>0</v>
      </c>
      <c r="S803" s="31">
        <f t="shared" si="298"/>
        <v>0</v>
      </c>
      <c r="T803" s="31">
        <f t="shared" si="298"/>
        <v>0</v>
      </c>
      <c r="U803" s="31">
        <f t="shared" si="298"/>
        <v>0</v>
      </c>
      <c r="V803" s="31">
        <f t="shared" si="298"/>
        <v>0</v>
      </c>
      <c r="W803" s="31">
        <f t="shared" si="298"/>
        <v>0</v>
      </c>
      <c r="X803" s="31">
        <f t="shared" si="298"/>
        <v>0</v>
      </c>
      <c r="Y803" s="31">
        <f t="shared" si="298"/>
        <v>0</v>
      </c>
      <c r="Z803" s="31">
        <f t="shared" si="298"/>
        <v>0</v>
      </c>
      <c r="AA803" s="31">
        <f t="shared" si="298"/>
        <v>0</v>
      </c>
      <c r="AB803" s="31">
        <f t="shared" si="298"/>
        <v>0</v>
      </c>
      <c r="AC803" s="31">
        <f t="shared" si="298"/>
        <v>41653.71</v>
      </c>
      <c r="AD803" s="31">
        <f t="shared" si="298"/>
        <v>190000</v>
      </c>
      <c r="AE803" s="31">
        <f t="shared" si="298"/>
        <v>0</v>
      </c>
      <c r="AF803" s="72" t="s">
        <v>794</v>
      </c>
      <c r="AG803" s="72" t="s">
        <v>794</v>
      </c>
      <c r="AH803" s="91" t="s">
        <v>794</v>
      </c>
      <c r="AT803" s="20" t="e">
        <f t="shared" si="286"/>
        <v>#N/A</v>
      </c>
    </row>
    <row r="804" spans="1:46" ht="61.5" x14ac:dyDescent="0.85">
      <c r="A804" s="20">
        <v>1</v>
      </c>
      <c r="B804" s="66">
        <f>SUBTOTAL(103,$A$567:A804)</f>
        <v>228</v>
      </c>
      <c r="C804" s="24" t="s">
        <v>728</v>
      </c>
      <c r="D804" s="31">
        <f t="shared" ref="D804:D805" si="299">E804+F804+G804+H804+I804+J804+L804+N804+P804+R804+T804+U804+V804+W804+X804+Y804+Z804+AA804+AB804+AC804+AD804+AE804</f>
        <v>2605803.73</v>
      </c>
      <c r="E804" s="31">
        <v>0</v>
      </c>
      <c r="F804" s="31">
        <v>0</v>
      </c>
      <c r="G804" s="31">
        <v>0</v>
      </c>
      <c r="H804" s="31">
        <v>0</v>
      </c>
      <c r="I804" s="31">
        <v>0</v>
      </c>
      <c r="J804" s="31">
        <v>0</v>
      </c>
      <c r="K804" s="33">
        <v>0</v>
      </c>
      <c r="L804" s="31">
        <v>0</v>
      </c>
      <c r="M804" s="31">
        <v>644.5</v>
      </c>
      <c r="N804" s="31">
        <v>2419511.06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  <c r="V804" s="31">
        <v>0</v>
      </c>
      <c r="W804" s="31">
        <v>0</v>
      </c>
      <c r="X804" s="31">
        <v>0</v>
      </c>
      <c r="Y804" s="31">
        <v>0</v>
      </c>
      <c r="Z804" s="31">
        <v>0</v>
      </c>
      <c r="AA804" s="31">
        <v>0</v>
      </c>
      <c r="AB804" s="31">
        <v>0</v>
      </c>
      <c r="AC804" s="31">
        <f>ROUND(N804*1.5%,2)</f>
        <v>36292.67</v>
      </c>
      <c r="AD804" s="31">
        <v>150000</v>
      </c>
      <c r="AE804" s="31">
        <v>0</v>
      </c>
      <c r="AF804" s="34">
        <v>2021</v>
      </c>
      <c r="AG804" s="34">
        <v>2021</v>
      </c>
      <c r="AH804" s="35">
        <v>2021</v>
      </c>
      <c r="AT804" s="20" t="e">
        <f t="shared" si="286"/>
        <v>#N/A</v>
      </c>
    </row>
    <row r="805" spans="1:46" ht="61.5" x14ac:dyDescent="0.85">
      <c r="A805" s="20">
        <v>1</v>
      </c>
      <c r="B805" s="66">
        <f>SUBTOTAL(103,$A$567:A805)</f>
        <v>229</v>
      </c>
      <c r="C805" s="24" t="s">
        <v>719</v>
      </c>
      <c r="D805" s="31">
        <f t="shared" si="299"/>
        <v>402763.69</v>
      </c>
      <c r="E805" s="31">
        <v>0</v>
      </c>
      <c r="F805" s="31">
        <v>0</v>
      </c>
      <c r="G805" s="31">
        <v>0</v>
      </c>
      <c r="H805" s="31">
        <v>0</v>
      </c>
      <c r="I805" s="31">
        <v>357402.65</v>
      </c>
      <c r="J805" s="31">
        <v>0</v>
      </c>
      <c r="K805" s="33">
        <v>0</v>
      </c>
      <c r="L805" s="31">
        <v>0</v>
      </c>
      <c r="M805" s="31">
        <v>0</v>
      </c>
      <c r="N805" s="31">
        <v>0</v>
      </c>
      <c r="O805" s="31">
        <v>0</v>
      </c>
      <c r="P805" s="31">
        <v>0</v>
      </c>
      <c r="Q805" s="31">
        <v>0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1">
        <v>0</v>
      </c>
      <c r="Y805" s="31">
        <v>0</v>
      </c>
      <c r="Z805" s="31">
        <v>0</v>
      </c>
      <c r="AA805" s="31">
        <v>0</v>
      </c>
      <c r="AB805" s="31">
        <v>0</v>
      </c>
      <c r="AC805" s="31">
        <f t="shared" ref="AC805" si="300">ROUND((E805+F805+G805+H805+I805+J805)*1.5%,2)</f>
        <v>5361.04</v>
      </c>
      <c r="AD805" s="31">
        <v>40000</v>
      </c>
      <c r="AE805" s="31">
        <v>0</v>
      </c>
      <c r="AF805" s="34">
        <v>2021</v>
      </c>
      <c r="AG805" s="34">
        <v>2021</v>
      </c>
      <c r="AH805" s="35">
        <v>2021</v>
      </c>
      <c r="AT805" s="20" t="e">
        <f t="shared" si="286"/>
        <v>#N/A</v>
      </c>
    </row>
    <row r="806" spans="1:46" ht="61.5" x14ac:dyDescent="0.85">
      <c r="B806" s="24" t="s">
        <v>909</v>
      </c>
      <c r="C806" s="24"/>
      <c r="D806" s="31">
        <f t="shared" ref="D806:AE806" si="301">D807</f>
        <v>3080948</v>
      </c>
      <c r="E806" s="31">
        <f t="shared" si="301"/>
        <v>0</v>
      </c>
      <c r="F806" s="31">
        <f t="shared" si="301"/>
        <v>0</v>
      </c>
      <c r="G806" s="31">
        <f t="shared" si="301"/>
        <v>0</v>
      </c>
      <c r="H806" s="31">
        <f t="shared" si="301"/>
        <v>0</v>
      </c>
      <c r="I806" s="31">
        <f t="shared" si="301"/>
        <v>0</v>
      </c>
      <c r="J806" s="31">
        <f t="shared" si="301"/>
        <v>0</v>
      </c>
      <c r="K806" s="33">
        <f t="shared" si="301"/>
        <v>0</v>
      </c>
      <c r="L806" s="31">
        <f t="shared" si="301"/>
        <v>0</v>
      </c>
      <c r="M806" s="31">
        <f t="shared" si="301"/>
        <v>520</v>
      </c>
      <c r="N806" s="31">
        <f t="shared" si="301"/>
        <v>2887633.5</v>
      </c>
      <c r="O806" s="31">
        <f t="shared" si="301"/>
        <v>0</v>
      </c>
      <c r="P806" s="31">
        <f t="shared" si="301"/>
        <v>0</v>
      </c>
      <c r="Q806" s="31">
        <f t="shared" si="301"/>
        <v>0</v>
      </c>
      <c r="R806" s="31">
        <f t="shared" si="301"/>
        <v>0</v>
      </c>
      <c r="S806" s="31">
        <f t="shared" si="301"/>
        <v>0</v>
      </c>
      <c r="T806" s="31">
        <f t="shared" si="301"/>
        <v>0</v>
      </c>
      <c r="U806" s="31">
        <f t="shared" si="301"/>
        <v>0</v>
      </c>
      <c r="V806" s="31">
        <f t="shared" si="301"/>
        <v>0</v>
      </c>
      <c r="W806" s="31">
        <f t="shared" si="301"/>
        <v>0</v>
      </c>
      <c r="X806" s="31">
        <f t="shared" si="301"/>
        <v>0</v>
      </c>
      <c r="Y806" s="31">
        <f t="shared" si="301"/>
        <v>0</v>
      </c>
      <c r="Z806" s="31">
        <f t="shared" si="301"/>
        <v>0</v>
      </c>
      <c r="AA806" s="31">
        <f t="shared" si="301"/>
        <v>0</v>
      </c>
      <c r="AB806" s="31">
        <f t="shared" si="301"/>
        <v>0</v>
      </c>
      <c r="AC806" s="31">
        <f t="shared" si="301"/>
        <v>43314.5</v>
      </c>
      <c r="AD806" s="31">
        <f t="shared" si="301"/>
        <v>150000</v>
      </c>
      <c r="AE806" s="31">
        <f t="shared" si="301"/>
        <v>0</v>
      </c>
      <c r="AF806" s="72" t="s">
        <v>794</v>
      </c>
      <c r="AG806" s="72" t="s">
        <v>794</v>
      </c>
      <c r="AH806" s="91" t="s">
        <v>794</v>
      </c>
      <c r="AT806" s="20" t="e">
        <f t="shared" si="286"/>
        <v>#N/A</v>
      </c>
    </row>
    <row r="807" spans="1:46" ht="61.5" x14ac:dyDescent="0.85">
      <c r="A807" s="20">
        <v>1</v>
      </c>
      <c r="B807" s="66">
        <f>SUBTOTAL(103,$A$567:A807)</f>
        <v>230</v>
      </c>
      <c r="C807" s="24" t="s">
        <v>713</v>
      </c>
      <c r="D807" s="31">
        <f t="shared" ref="D807" si="302">E807+F807+G807+H807+I807+J807+L807+N807+P807+R807+T807+U807+V807+W807+X807+Y807+Z807+AA807+AB807+AC807+AD807+AE807</f>
        <v>3080948</v>
      </c>
      <c r="E807" s="31">
        <v>0</v>
      </c>
      <c r="F807" s="31">
        <v>0</v>
      </c>
      <c r="G807" s="31">
        <v>0</v>
      </c>
      <c r="H807" s="31">
        <v>0</v>
      </c>
      <c r="I807" s="31">
        <v>0</v>
      </c>
      <c r="J807" s="31">
        <v>0</v>
      </c>
      <c r="K807" s="33">
        <v>0</v>
      </c>
      <c r="L807" s="31">
        <v>0</v>
      </c>
      <c r="M807" s="31">
        <v>520</v>
      </c>
      <c r="N807" s="31">
        <v>2887633.5</v>
      </c>
      <c r="O807" s="31">
        <v>0</v>
      </c>
      <c r="P807" s="31">
        <v>0</v>
      </c>
      <c r="Q807" s="31">
        <v>0</v>
      </c>
      <c r="R807" s="31">
        <v>0</v>
      </c>
      <c r="S807" s="31">
        <v>0</v>
      </c>
      <c r="T807" s="31">
        <v>0</v>
      </c>
      <c r="U807" s="31">
        <v>0</v>
      </c>
      <c r="V807" s="31">
        <v>0</v>
      </c>
      <c r="W807" s="31">
        <v>0</v>
      </c>
      <c r="X807" s="31">
        <v>0</v>
      </c>
      <c r="Y807" s="31">
        <v>0</v>
      </c>
      <c r="Z807" s="31">
        <v>0</v>
      </c>
      <c r="AA807" s="31">
        <v>0</v>
      </c>
      <c r="AB807" s="31">
        <v>0</v>
      </c>
      <c r="AC807" s="31">
        <f>ROUND(N807*1.5%,2)</f>
        <v>43314.5</v>
      </c>
      <c r="AD807" s="31">
        <v>150000</v>
      </c>
      <c r="AE807" s="31">
        <v>0</v>
      </c>
      <c r="AF807" s="34">
        <v>2021</v>
      </c>
      <c r="AG807" s="34">
        <v>2021</v>
      </c>
      <c r="AH807" s="35">
        <v>2021</v>
      </c>
      <c r="AT807" s="20" t="e">
        <f t="shared" si="286"/>
        <v>#N/A</v>
      </c>
    </row>
    <row r="808" spans="1:46" ht="61.5" x14ac:dyDescent="0.85">
      <c r="B808" s="24" t="s">
        <v>865</v>
      </c>
      <c r="C808" s="24"/>
      <c r="D808" s="31">
        <f>D809</f>
        <v>2000000</v>
      </c>
      <c r="E808" s="31">
        <f t="shared" ref="E808:AE808" si="303">E809</f>
        <v>0</v>
      </c>
      <c r="F808" s="31">
        <f t="shared" si="303"/>
        <v>0</v>
      </c>
      <c r="G808" s="31">
        <f t="shared" si="303"/>
        <v>0</v>
      </c>
      <c r="H808" s="31">
        <f t="shared" si="303"/>
        <v>0</v>
      </c>
      <c r="I808" s="31">
        <f t="shared" si="303"/>
        <v>0</v>
      </c>
      <c r="J808" s="31">
        <f t="shared" si="303"/>
        <v>0</v>
      </c>
      <c r="K808" s="33">
        <f t="shared" si="303"/>
        <v>0</v>
      </c>
      <c r="L808" s="31">
        <f t="shared" si="303"/>
        <v>0</v>
      </c>
      <c r="M808" s="31">
        <f t="shared" si="303"/>
        <v>700.14</v>
      </c>
      <c r="N808" s="31">
        <f t="shared" si="303"/>
        <v>1842364.53</v>
      </c>
      <c r="O808" s="31">
        <f t="shared" si="303"/>
        <v>0</v>
      </c>
      <c r="P808" s="31">
        <f t="shared" si="303"/>
        <v>0</v>
      </c>
      <c r="Q808" s="31">
        <f t="shared" si="303"/>
        <v>0</v>
      </c>
      <c r="R808" s="31">
        <f t="shared" si="303"/>
        <v>0</v>
      </c>
      <c r="S808" s="31">
        <f t="shared" si="303"/>
        <v>0</v>
      </c>
      <c r="T808" s="31">
        <f t="shared" si="303"/>
        <v>0</v>
      </c>
      <c r="U808" s="31">
        <f t="shared" si="303"/>
        <v>0</v>
      </c>
      <c r="V808" s="31">
        <f t="shared" si="303"/>
        <v>0</v>
      </c>
      <c r="W808" s="31">
        <f t="shared" si="303"/>
        <v>0</v>
      </c>
      <c r="X808" s="31">
        <f t="shared" si="303"/>
        <v>0</v>
      </c>
      <c r="Y808" s="31">
        <f t="shared" si="303"/>
        <v>0</v>
      </c>
      <c r="Z808" s="31">
        <f t="shared" si="303"/>
        <v>0</v>
      </c>
      <c r="AA808" s="31">
        <f t="shared" si="303"/>
        <v>0</v>
      </c>
      <c r="AB808" s="31">
        <f t="shared" si="303"/>
        <v>0</v>
      </c>
      <c r="AC808" s="31">
        <f t="shared" si="303"/>
        <v>27635.47</v>
      </c>
      <c r="AD808" s="31">
        <f t="shared" si="303"/>
        <v>130000</v>
      </c>
      <c r="AE808" s="31">
        <f t="shared" si="303"/>
        <v>0</v>
      </c>
      <c r="AF808" s="72" t="s">
        <v>794</v>
      </c>
      <c r="AG808" s="72" t="s">
        <v>794</v>
      </c>
      <c r="AH808" s="91" t="s">
        <v>794</v>
      </c>
      <c r="AT808" s="20" t="e">
        <f t="shared" si="286"/>
        <v>#N/A</v>
      </c>
    </row>
    <row r="809" spans="1:46" ht="61.5" x14ac:dyDescent="0.85">
      <c r="A809" s="20">
        <v>1</v>
      </c>
      <c r="B809" s="66">
        <f>SUBTOTAL(103,$A$567:A809)</f>
        <v>231</v>
      </c>
      <c r="C809" s="24" t="s">
        <v>720</v>
      </c>
      <c r="D809" s="31">
        <f>E809+F809+G809+H809+I809+J809+L809+N809+P809+R809+T809+U809+V809+W809+X809+Y809+Z809+AA809+AB809+AC809+AD809+AE809</f>
        <v>2000000</v>
      </c>
      <c r="E809" s="31">
        <v>0</v>
      </c>
      <c r="F809" s="31">
        <v>0</v>
      </c>
      <c r="G809" s="31">
        <v>0</v>
      </c>
      <c r="H809" s="31">
        <v>0</v>
      </c>
      <c r="I809" s="31">
        <v>0</v>
      </c>
      <c r="J809" s="31">
        <v>0</v>
      </c>
      <c r="K809" s="33">
        <v>0</v>
      </c>
      <c r="L809" s="31">
        <v>0</v>
      </c>
      <c r="M809" s="31">
        <v>700.14</v>
      </c>
      <c r="N809" s="31">
        <v>1842364.53</v>
      </c>
      <c r="O809" s="31">
        <v>0</v>
      </c>
      <c r="P809" s="31">
        <v>0</v>
      </c>
      <c r="Q809" s="31">
        <v>0</v>
      </c>
      <c r="R809" s="31">
        <v>0</v>
      </c>
      <c r="S809" s="31">
        <v>0</v>
      </c>
      <c r="T809" s="31">
        <v>0</v>
      </c>
      <c r="U809" s="31">
        <v>0</v>
      </c>
      <c r="V809" s="31">
        <v>0</v>
      </c>
      <c r="W809" s="31">
        <v>0</v>
      </c>
      <c r="X809" s="31">
        <v>0</v>
      </c>
      <c r="Y809" s="31">
        <v>0</v>
      </c>
      <c r="Z809" s="31">
        <v>0</v>
      </c>
      <c r="AA809" s="31">
        <v>0</v>
      </c>
      <c r="AB809" s="31">
        <v>0</v>
      </c>
      <c r="AC809" s="31">
        <f>ROUND(N809*1.5%,2)</f>
        <v>27635.47</v>
      </c>
      <c r="AD809" s="31">
        <v>130000</v>
      </c>
      <c r="AE809" s="31">
        <v>0</v>
      </c>
      <c r="AF809" s="34">
        <v>2021</v>
      </c>
      <c r="AG809" s="34">
        <v>2021</v>
      </c>
      <c r="AH809" s="35">
        <v>2021</v>
      </c>
      <c r="AT809" s="20" t="e">
        <f t="shared" si="286"/>
        <v>#N/A</v>
      </c>
    </row>
    <row r="810" spans="1:46" ht="61.5" x14ac:dyDescent="0.85">
      <c r="B810" s="24" t="s">
        <v>866</v>
      </c>
      <c r="C810" s="24"/>
      <c r="D810" s="31">
        <f t="shared" ref="D810:AE810" si="304">SUM(D811:D816)</f>
        <v>23342012.82</v>
      </c>
      <c r="E810" s="31">
        <f t="shared" si="304"/>
        <v>0</v>
      </c>
      <c r="F810" s="31">
        <f t="shared" si="304"/>
        <v>0</v>
      </c>
      <c r="G810" s="31">
        <f t="shared" si="304"/>
        <v>0</v>
      </c>
      <c r="H810" s="31">
        <f t="shared" si="304"/>
        <v>0</v>
      </c>
      <c r="I810" s="31">
        <f t="shared" si="304"/>
        <v>0</v>
      </c>
      <c r="J810" s="31">
        <f t="shared" si="304"/>
        <v>0</v>
      </c>
      <c r="K810" s="33">
        <f t="shared" si="304"/>
        <v>0</v>
      </c>
      <c r="L810" s="31">
        <f t="shared" si="304"/>
        <v>0</v>
      </c>
      <c r="M810" s="31">
        <f t="shared" si="304"/>
        <v>4052.5</v>
      </c>
      <c r="N810" s="31">
        <f t="shared" si="304"/>
        <v>19724484.109999999</v>
      </c>
      <c r="O810" s="31">
        <f t="shared" si="304"/>
        <v>0</v>
      </c>
      <c r="P810" s="31">
        <f t="shared" si="304"/>
        <v>0</v>
      </c>
      <c r="Q810" s="31">
        <f t="shared" si="304"/>
        <v>2768.5</v>
      </c>
      <c r="R810" s="31">
        <f t="shared" si="304"/>
        <v>2307055.62</v>
      </c>
      <c r="S810" s="31">
        <f t="shared" si="304"/>
        <v>0</v>
      </c>
      <c r="T810" s="31">
        <f t="shared" si="304"/>
        <v>0</v>
      </c>
      <c r="U810" s="31">
        <f t="shared" si="304"/>
        <v>0</v>
      </c>
      <c r="V810" s="31">
        <f t="shared" si="304"/>
        <v>0</v>
      </c>
      <c r="W810" s="31">
        <f t="shared" si="304"/>
        <v>0</v>
      </c>
      <c r="X810" s="31">
        <f t="shared" si="304"/>
        <v>0</v>
      </c>
      <c r="Y810" s="31">
        <f t="shared" si="304"/>
        <v>0</v>
      </c>
      <c r="Z810" s="31">
        <f t="shared" si="304"/>
        <v>0</v>
      </c>
      <c r="AA810" s="31">
        <f t="shared" si="304"/>
        <v>0</v>
      </c>
      <c r="AB810" s="31">
        <f t="shared" si="304"/>
        <v>0</v>
      </c>
      <c r="AC810" s="31">
        <f t="shared" si="304"/>
        <v>330473.09000000003</v>
      </c>
      <c r="AD810" s="31">
        <f t="shared" si="304"/>
        <v>980000</v>
      </c>
      <c r="AE810" s="31">
        <f t="shared" si="304"/>
        <v>0</v>
      </c>
      <c r="AF810" s="72" t="s">
        <v>794</v>
      </c>
      <c r="AG810" s="72" t="s">
        <v>794</v>
      </c>
      <c r="AH810" s="91" t="s">
        <v>794</v>
      </c>
      <c r="AT810" s="20" t="e">
        <f t="shared" si="286"/>
        <v>#N/A</v>
      </c>
    </row>
    <row r="811" spans="1:46" ht="61.5" x14ac:dyDescent="0.85">
      <c r="A811" s="20">
        <v>1</v>
      </c>
      <c r="B811" s="66">
        <f>SUBTOTAL(103,$A$567:A811)</f>
        <v>232</v>
      </c>
      <c r="C811" s="24" t="s">
        <v>710</v>
      </c>
      <c r="D811" s="31">
        <f t="shared" ref="D811:D816" si="305">E811+F811+G811+H811+I811+J811+L811+N811+P811+R811+T811+U811+V811+W811+X811+Y811+Z811+AA811+AB811+AC811+AD811+AE811</f>
        <v>2541661.4500000002</v>
      </c>
      <c r="E811" s="31">
        <v>0</v>
      </c>
      <c r="F811" s="31">
        <v>0</v>
      </c>
      <c r="G811" s="31">
        <v>0</v>
      </c>
      <c r="H811" s="31">
        <v>0</v>
      </c>
      <c r="I811" s="31">
        <v>0</v>
      </c>
      <c r="J811" s="31">
        <v>0</v>
      </c>
      <c r="K811" s="33">
        <v>0</v>
      </c>
      <c r="L811" s="31">
        <v>0</v>
      </c>
      <c r="M811" s="31">
        <v>0</v>
      </c>
      <c r="N811" s="31">
        <v>0</v>
      </c>
      <c r="O811" s="31">
        <v>0</v>
      </c>
      <c r="P811" s="31">
        <v>0</v>
      </c>
      <c r="Q811" s="31">
        <v>2768.5</v>
      </c>
      <c r="R811" s="31">
        <v>2307055.62</v>
      </c>
      <c r="S811" s="31">
        <v>0</v>
      </c>
      <c r="T811" s="31">
        <v>0</v>
      </c>
      <c r="U811" s="31">
        <v>0</v>
      </c>
      <c r="V811" s="31">
        <v>0</v>
      </c>
      <c r="W811" s="31">
        <v>0</v>
      </c>
      <c r="X811" s="31">
        <v>0</v>
      </c>
      <c r="Y811" s="31">
        <v>0</v>
      </c>
      <c r="Z811" s="31">
        <v>0</v>
      </c>
      <c r="AA811" s="31">
        <v>0</v>
      </c>
      <c r="AB811" s="31">
        <v>0</v>
      </c>
      <c r="AC811" s="31">
        <f t="shared" ref="AC811" si="306">ROUND(R811*1.5%,2)</f>
        <v>34605.83</v>
      </c>
      <c r="AD811" s="31">
        <v>200000</v>
      </c>
      <c r="AE811" s="31">
        <v>0</v>
      </c>
      <c r="AF811" s="34">
        <v>2021</v>
      </c>
      <c r="AG811" s="34">
        <v>2021</v>
      </c>
      <c r="AH811" s="35">
        <v>2021</v>
      </c>
      <c r="AT811" s="20">
        <f t="shared" si="286"/>
        <v>1</v>
      </c>
    </row>
    <row r="812" spans="1:46" ht="61.5" x14ac:dyDescent="0.85">
      <c r="A812" s="20">
        <v>1</v>
      </c>
      <c r="B812" s="66">
        <f>SUBTOTAL(103,$A$567:A812)</f>
        <v>233</v>
      </c>
      <c r="C812" s="24" t="s">
        <v>698</v>
      </c>
      <c r="D812" s="31">
        <f t="shared" si="305"/>
        <v>5370787.6200000001</v>
      </c>
      <c r="E812" s="31">
        <v>0</v>
      </c>
      <c r="F812" s="31">
        <v>0</v>
      </c>
      <c r="G812" s="31">
        <v>0</v>
      </c>
      <c r="H812" s="31">
        <v>0</v>
      </c>
      <c r="I812" s="31">
        <v>0</v>
      </c>
      <c r="J812" s="31">
        <v>0</v>
      </c>
      <c r="K812" s="33">
        <v>0</v>
      </c>
      <c r="L812" s="31">
        <v>0</v>
      </c>
      <c r="M812" s="31">
        <v>1107</v>
      </c>
      <c r="N812" s="31">
        <v>5114076.47</v>
      </c>
      <c r="O812" s="31">
        <v>0</v>
      </c>
      <c r="P812" s="31">
        <v>0</v>
      </c>
      <c r="Q812" s="31">
        <v>0</v>
      </c>
      <c r="R812" s="31">
        <v>0</v>
      </c>
      <c r="S812" s="31">
        <v>0</v>
      </c>
      <c r="T812" s="31">
        <v>0</v>
      </c>
      <c r="U812" s="31">
        <v>0</v>
      </c>
      <c r="V812" s="31">
        <v>0</v>
      </c>
      <c r="W812" s="31">
        <v>0</v>
      </c>
      <c r="X812" s="31">
        <v>0</v>
      </c>
      <c r="Y812" s="31">
        <v>0</v>
      </c>
      <c r="Z812" s="31">
        <v>0</v>
      </c>
      <c r="AA812" s="31">
        <v>0</v>
      </c>
      <c r="AB812" s="31">
        <v>0</v>
      </c>
      <c r="AC812" s="31">
        <f t="shared" ref="AC812:AC816" si="307">ROUND(N812*1.5%,2)</f>
        <v>76711.149999999994</v>
      </c>
      <c r="AD812" s="31">
        <v>180000</v>
      </c>
      <c r="AE812" s="31">
        <v>0</v>
      </c>
      <c r="AF812" s="34">
        <v>2021</v>
      </c>
      <c r="AG812" s="34">
        <v>2021</v>
      </c>
      <c r="AH812" s="35">
        <v>2021</v>
      </c>
      <c r="AT812" s="20" t="e">
        <f t="shared" si="286"/>
        <v>#N/A</v>
      </c>
    </row>
    <row r="813" spans="1:46" ht="61.5" x14ac:dyDescent="0.85">
      <c r="A813" s="20">
        <v>1</v>
      </c>
      <c r="B813" s="66">
        <f>SUBTOTAL(103,$A$567:A813)</f>
        <v>234</v>
      </c>
      <c r="C813" s="24" t="s">
        <v>726</v>
      </c>
      <c r="D813" s="31">
        <f t="shared" si="305"/>
        <v>4073004</v>
      </c>
      <c r="E813" s="31">
        <v>0</v>
      </c>
      <c r="F813" s="31">
        <v>0</v>
      </c>
      <c r="G813" s="31">
        <v>0</v>
      </c>
      <c r="H813" s="31">
        <v>0</v>
      </c>
      <c r="I813" s="31">
        <v>0</v>
      </c>
      <c r="J813" s="31">
        <v>0</v>
      </c>
      <c r="K813" s="33">
        <v>0</v>
      </c>
      <c r="L813" s="31">
        <v>0</v>
      </c>
      <c r="M813" s="31">
        <v>780</v>
      </c>
      <c r="N813" s="31">
        <v>3865028.57</v>
      </c>
      <c r="O813" s="31">
        <v>0</v>
      </c>
      <c r="P813" s="31">
        <v>0</v>
      </c>
      <c r="Q813" s="31">
        <v>0</v>
      </c>
      <c r="R813" s="31">
        <v>0</v>
      </c>
      <c r="S813" s="31">
        <v>0</v>
      </c>
      <c r="T813" s="31">
        <v>0</v>
      </c>
      <c r="U813" s="31">
        <v>0</v>
      </c>
      <c r="V813" s="31">
        <v>0</v>
      </c>
      <c r="W813" s="31">
        <v>0</v>
      </c>
      <c r="X813" s="31">
        <v>0</v>
      </c>
      <c r="Y813" s="31">
        <v>0</v>
      </c>
      <c r="Z813" s="31">
        <v>0</v>
      </c>
      <c r="AA813" s="31">
        <v>0</v>
      </c>
      <c r="AB813" s="31">
        <v>0</v>
      </c>
      <c r="AC813" s="31">
        <f t="shared" si="307"/>
        <v>57975.43</v>
      </c>
      <c r="AD813" s="31">
        <v>150000</v>
      </c>
      <c r="AE813" s="31">
        <v>0</v>
      </c>
      <c r="AF813" s="34">
        <v>2021</v>
      </c>
      <c r="AG813" s="34">
        <v>2021</v>
      </c>
      <c r="AH813" s="35">
        <v>2021</v>
      </c>
      <c r="AT813" s="20" t="e">
        <f t="shared" si="286"/>
        <v>#N/A</v>
      </c>
    </row>
    <row r="814" spans="1:46" ht="61.5" x14ac:dyDescent="0.85">
      <c r="A814" s="20">
        <v>1</v>
      </c>
      <c r="B814" s="66">
        <f>SUBTOTAL(103,$A$567:A814)</f>
        <v>235</v>
      </c>
      <c r="C814" s="24" t="s">
        <v>703</v>
      </c>
      <c r="D814" s="31">
        <f t="shared" si="305"/>
        <v>3707478</v>
      </c>
      <c r="E814" s="31">
        <v>0</v>
      </c>
      <c r="F814" s="31">
        <v>0</v>
      </c>
      <c r="G814" s="31">
        <v>0</v>
      </c>
      <c r="H814" s="31">
        <v>0</v>
      </c>
      <c r="I814" s="31">
        <v>0</v>
      </c>
      <c r="J814" s="31">
        <v>0</v>
      </c>
      <c r="K814" s="33">
        <v>0</v>
      </c>
      <c r="L814" s="31">
        <v>0</v>
      </c>
      <c r="M814" s="31">
        <v>710</v>
      </c>
      <c r="N814" s="31">
        <v>3504904.43</v>
      </c>
      <c r="O814" s="31">
        <v>0</v>
      </c>
      <c r="P814" s="31">
        <v>0</v>
      </c>
      <c r="Q814" s="31">
        <v>0</v>
      </c>
      <c r="R814" s="31">
        <v>0</v>
      </c>
      <c r="S814" s="31">
        <v>0</v>
      </c>
      <c r="T814" s="31">
        <v>0</v>
      </c>
      <c r="U814" s="31">
        <v>0</v>
      </c>
      <c r="V814" s="31">
        <v>0</v>
      </c>
      <c r="W814" s="31">
        <v>0</v>
      </c>
      <c r="X814" s="31">
        <v>0</v>
      </c>
      <c r="Y814" s="31">
        <v>0</v>
      </c>
      <c r="Z814" s="31">
        <v>0</v>
      </c>
      <c r="AA814" s="31">
        <v>0</v>
      </c>
      <c r="AB814" s="31">
        <v>0</v>
      </c>
      <c r="AC814" s="31">
        <f t="shared" si="307"/>
        <v>52573.57</v>
      </c>
      <c r="AD814" s="31">
        <v>150000</v>
      </c>
      <c r="AE814" s="31">
        <v>0</v>
      </c>
      <c r="AF814" s="34">
        <v>2021</v>
      </c>
      <c r="AG814" s="34">
        <v>2021</v>
      </c>
      <c r="AH814" s="35">
        <v>2021</v>
      </c>
      <c r="AT814" s="20" t="e">
        <f t="shared" si="286"/>
        <v>#N/A</v>
      </c>
    </row>
    <row r="815" spans="1:46" ht="61.5" x14ac:dyDescent="0.85">
      <c r="A815" s="20">
        <v>1</v>
      </c>
      <c r="B815" s="66">
        <f>SUBTOTAL(103,$A$567:A815)</f>
        <v>236</v>
      </c>
      <c r="C815" s="24" t="s">
        <v>708</v>
      </c>
      <c r="D815" s="31">
        <f t="shared" si="305"/>
        <v>3916350</v>
      </c>
      <c r="E815" s="31">
        <v>0</v>
      </c>
      <c r="F815" s="31">
        <v>0</v>
      </c>
      <c r="G815" s="31">
        <v>0</v>
      </c>
      <c r="H815" s="31">
        <v>0</v>
      </c>
      <c r="I815" s="31">
        <v>0</v>
      </c>
      <c r="J815" s="31">
        <v>0</v>
      </c>
      <c r="K815" s="33">
        <v>0</v>
      </c>
      <c r="L815" s="31">
        <v>0</v>
      </c>
      <c r="M815" s="31">
        <v>750</v>
      </c>
      <c r="N815" s="31">
        <v>3710689.66</v>
      </c>
      <c r="O815" s="31">
        <v>0</v>
      </c>
      <c r="P815" s="31">
        <v>0</v>
      </c>
      <c r="Q815" s="31">
        <v>0</v>
      </c>
      <c r="R815" s="31">
        <v>0</v>
      </c>
      <c r="S815" s="31">
        <v>0</v>
      </c>
      <c r="T815" s="31">
        <v>0</v>
      </c>
      <c r="U815" s="31">
        <v>0</v>
      </c>
      <c r="V815" s="31">
        <v>0</v>
      </c>
      <c r="W815" s="31">
        <v>0</v>
      </c>
      <c r="X815" s="31">
        <v>0</v>
      </c>
      <c r="Y815" s="31">
        <v>0</v>
      </c>
      <c r="Z815" s="31">
        <v>0</v>
      </c>
      <c r="AA815" s="31">
        <v>0</v>
      </c>
      <c r="AB815" s="31">
        <v>0</v>
      </c>
      <c r="AC815" s="31">
        <f t="shared" si="307"/>
        <v>55660.34</v>
      </c>
      <c r="AD815" s="31">
        <v>150000</v>
      </c>
      <c r="AE815" s="31">
        <v>0</v>
      </c>
      <c r="AF815" s="34">
        <v>2021</v>
      </c>
      <c r="AG815" s="34">
        <v>2021</v>
      </c>
      <c r="AH815" s="35">
        <v>2021</v>
      </c>
      <c r="AT815" s="20" t="e">
        <f t="shared" si="286"/>
        <v>#N/A</v>
      </c>
    </row>
    <row r="816" spans="1:46" ht="61.5" x14ac:dyDescent="0.85">
      <c r="A816" s="20">
        <v>1</v>
      </c>
      <c r="B816" s="66">
        <f>SUBTOTAL(103,$A$567:A816)</f>
        <v>237</v>
      </c>
      <c r="C816" s="24" t="s">
        <v>707</v>
      </c>
      <c r="D816" s="31">
        <f t="shared" si="305"/>
        <v>3732731.75</v>
      </c>
      <c r="E816" s="31">
        <v>0</v>
      </c>
      <c r="F816" s="31">
        <v>0</v>
      </c>
      <c r="G816" s="31">
        <v>0</v>
      </c>
      <c r="H816" s="31">
        <v>0</v>
      </c>
      <c r="I816" s="31">
        <v>0</v>
      </c>
      <c r="J816" s="31">
        <v>0</v>
      </c>
      <c r="K816" s="33">
        <v>0</v>
      </c>
      <c r="L816" s="31">
        <v>0</v>
      </c>
      <c r="M816" s="31">
        <v>705.5</v>
      </c>
      <c r="N816" s="31">
        <v>3529784.98</v>
      </c>
      <c r="O816" s="31">
        <v>0</v>
      </c>
      <c r="P816" s="31">
        <v>0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1">
        <v>0</v>
      </c>
      <c r="Y816" s="31">
        <v>0</v>
      </c>
      <c r="Z816" s="31">
        <v>0</v>
      </c>
      <c r="AA816" s="31">
        <v>0</v>
      </c>
      <c r="AB816" s="31">
        <v>0</v>
      </c>
      <c r="AC816" s="31">
        <f t="shared" si="307"/>
        <v>52946.77</v>
      </c>
      <c r="AD816" s="31">
        <v>150000</v>
      </c>
      <c r="AE816" s="31">
        <v>0</v>
      </c>
      <c r="AF816" s="34">
        <v>2021</v>
      </c>
      <c r="AG816" s="34">
        <v>2021</v>
      </c>
      <c r="AH816" s="35">
        <v>2021</v>
      </c>
      <c r="AT816" s="20" t="e">
        <f t="shared" si="286"/>
        <v>#N/A</v>
      </c>
    </row>
    <row r="817" spans="1:46" ht="61.5" x14ac:dyDescent="0.85">
      <c r="B817" s="24" t="s">
        <v>867</v>
      </c>
      <c r="C817" s="117"/>
      <c r="D817" s="31">
        <f t="shared" ref="D817:AE817" si="308">SUM(D818:D819)</f>
        <v>11973050.91</v>
      </c>
      <c r="E817" s="31">
        <f t="shared" si="308"/>
        <v>0</v>
      </c>
      <c r="F817" s="31">
        <f t="shared" si="308"/>
        <v>0</v>
      </c>
      <c r="G817" s="31">
        <f t="shared" si="308"/>
        <v>0</v>
      </c>
      <c r="H817" s="31">
        <f t="shared" si="308"/>
        <v>0</v>
      </c>
      <c r="I817" s="31">
        <f t="shared" si="308"/>
        <v>0</v>
      </c>
      <c r="J817" s="31">
        <f t="shared" si="308"/>
        <v>0</v>
      </c>
      <c r="K817" s="33">
        <f t="shared" si="308"/>
        <v>0</v>
      </c>
      <c r="L817" s="31">
        <f t="shared" si="308"/>
        <v>0</v>
      </c>
      <c r="M817" s="31">
        <f t="shared" si="308"/>
        <v>2150</v>
      </c>
      <c r="N817" s="31">
        <f t="shared" si="308"/>
        <v>11470986.119999999</v>
      </c>
      <c r="O817" s="31">
        <f t="shared" si="308"/>
        <v>0</v>
      </c>
      <c r="P817" s="31">
        <f t="shared" si="308"/>
        <v>0</v>
      </c>
      <c r="Q817" s="31">
        <f t="shared" si="308"/>
        <v>0</v>
      </c>
      <c r="R817" s="31">
        <f t="shared" si="308"/>
        <v>0</v>
      </c>
      <c r="S817" s="31">
        <f t="shared" si="308"/>
        <v>0</v>
      </c>
      <c r="T817" s="31">
        <f t="shared" si="308"/>
        <v>0</v>
      </c>
      <c r="U817" s="31">
        <f t="shared" si="308"/>
        <v>0</v>
      </c>
      <c r="V817" s="31">
        <f t="shared" si="308"/>
        <v>0</v>
      </c>
      <c r="W817" s="31">
        <f t="shared" si="308"/>
        <v>0</v>
      </c>
      <c r="X817" s="31">
        <f t="shared" si="308"/>
        <v>0</v>
      </c>
      <c r="Y817" s="31">
        <f t="shared" si="308"/>
        <v>0</v>
      </c>
      <c r="Z817" s="31">
        <f t="shared" si="308"/>
        <v>0</v>
      </c>
      <c r="AA817" s="31">
        <f t="shared" si="308"/>
        <v>0</v>
      </c>
      <c r="AB817" s="31">
        <f t="shared" si="308"/>
        <v>0</v>
      </c>
      <c r="AC817" s="31">
        <f t="shared" si="308"/>
        <v>172064.79</v>
      </c>
      <c r="AD817" s="31">
        <f t="shared" si="308"/>
        <v>330000</v>
      </c>
      <c r="AE817" s="31">
        <f t="shared" si="308"/>
        <v>0</v>
      </c>
      <c r="AF817" s="72" t="s">
        <v>794</v>
      </c>
      <c r="AG817" s="72" t="s">
        <v>794</v>
      </c>
      <c r="AH817" s="91" t="s">
        <v>794</v>
      </c>
      <c r="AT817" s="20" t="e">
        <f t="shared" si="286"/>
        <v>#N/A</v>
      </c>
    </row>
    <row r="818" spans="1:46" ht="61.5" x14ac:dyDescent="0.85">
      <c r="A818" s="20">
        <v>1</v>
      </c>
      <c r="B818" s="66">
        <f>SUBTOTAL(103,$A$567:A818)</f>
        <v>238</v>
      </c>
      <c r="C818" s="24" t="s">
        <v>240</v>
      </c>
      <c r="D818" s="31">
        <f t="shared" ref="D818:D821" si="309">E818+F818+G818+H818+I818+J818+L818+N818+P818+R818+T818+U818+V818+W818+X818+Y818+Z818+AA818+AB818+AC818+AD818+AE818</f>
        <v>7695900</v>
      </c>
      <c r="E818" s="31">
        <v>0</v>
      </c>
      <c r="F818" s="31">
        <v>0</v>
      </c>
      <c r="G818" s="31">
        <v>0</v>
      </c>
      <c r="H818" s="31">
        <v>0</v>
      </c>
      <c r="I818" s="31">
        <v>0</v>
      </c>
      <c r="J818" s="31">
        <v>0</v>
      </c>
      <c r="K818" s="33">
        <v>0</v>
      </c>
      <c r="L818" s="31">
        <v>0</v>
      </c>
      <c r="M818" s="31">
        <v>1509</v>
      </c>
      <c r="N818" s="31">
        <v>7404827.5899999999</v>
      </c>
      <c r="O818" s="31">
        <v>0</v>
      </c>
      <c r="P818" s="31">
        <v>0</v>
      </c>
      <c r="Q818" s="31">
        <v>0</v>
      </c>
      <c r="R818" s="31">
        <v>0</v>
      </c>
      <c r="S818" s="31">
        <v>0</v>
      </c>
      <c r="T818" s="31">
        <v>0</v>
      </c>
      <c r="U818" s="31">
        <v>0</v>
      </c>
      <c r="V818" s="31">
        <v>0</v>
      </c>
      <c r="W818" s="31">
        <v>0</v>
      </c>
      <c r="X818" s="31">
        <v>0</v>
      </c>
      <c r="Y818" s="31">
        <v>0</v>
      </c>
      <c r="Z818" s="31">
        <v>0</v>
      </c>
      <c r="AA818" s="31">
        <v>0</v>
      </c>
      <c r="AB818" s="31">
        <v>0</v>
      </c>
      <c r="AC818" s="31">
        <f t="shared" ref="AC818:AC819" si="310">ROUND(N818*1.5%,2)</f>
        <v>111072.41</v>
      </c>
      <c r="AD818" s="31">
        <v>180000</v>
      </c>
      <c r="AE818" s="31">
        <v>0</v>
      </c>
      <c r="AF818" s="34">
        <v>2021</v>
      </c>
      <c r="AG818" s="34">
        <v>2021</v>
      </c>
      <c r="AH818" s="35">
        <v>2021</v>
      </c>
      <c r="AT818" s="20">
        <f t="shared" si="286"/>
        <v>1</v>
      </c>
    </row>
    <row r="819" spans="1:46" ht="61.5" x14ac:dyDescent="0.85">
      <c r="A819" s="20">
        <v>1</v>
      </c>
      <c r="B819" s="66">
        <f>SUBTOTAL(103,$A$567:A819)</f>
        <v>239</v>
      </c>
      <c r="C819" s="24" t="s">
        <v>245</v>
      </c>
      <c r="D819" s="31">
        <f t="shared" si="309"/>
        <v>4277150.91</v>
      </c>
      <c r="E819" s="31">
        <v>0</v>
      </c>
      <c r="F819" s="31">
        <v>0</v>
      </c>
      <c r="G819" s="31">
        <v>0</v>
      </c>
      <c r="H819" s="31">
        <v>0</v>
      </c>
      <c r="I819" s="31">
        <v>0</v>
      </c>
      <c r="J819" s="31">
        <v>0</v>
      </c>
      <c r="K819" s="33">
        <v>0</v>
      </c>
      <c r="L819" s="31">
        <v>0</v>
      </c>
      <c r="M819" s="31">
        <v>641</v>
      </c>
      <c r="N819" s="31">
        <v>4066158.53</v>
      </c>
      <c r="O819" s="31">
        <v>0</v>
      </c>
      <c r="P819" s="31">
        <v>0</v>
      </c>
      <c r="Q819" s="31">
        <v>0</v>
      </c>
      <c r="R819" s="31">
        <v>0</v>
      </c>
      <c r="S819" s="31">
        <v>0</v>
      </c>
      <c r="T819" s="31">
        <v>0</v>
      </c>
      <c r="U819" s="31">
        <v>0</v>
      </c>
      <c r="V819" s="31">
        <v>0</v>
      </c>
      <c r="W819" s="31">
        <v>0</v>
      </c>
      <c r="X819" s="31">
        <v>0</v>
      </c>
      <c r="Y819" s="31">
        <v>0</v>
      </c>
      <c r="Z819" s="31">
        <v>0</v>
      </c>
      <c r="AA819" s="31">
        <v>0</v>
      </c>
      <c r="AB819" s="31">
        <v>0</v>
      </c>
      <c r="AC819" s="31">
        <f t="shared" si="310"/>
        <v>60992.38</v>
      </c>
      <c r="AD819" s="31">
        <v>150000</v>
      </c>
      <c r="AE819" s="31">
        <v>0</v>
      </c>
      <c r="AF819" s="34">
        <v>2021</v>
      </c>
      <c r="AG819" s="34">
        <v>2021</v>
      </c>
      <c r="AH819" s="35">
        <v>2021</v>
      </c>
      <c r="AT819" s="20" t="e">
        <f t="shared" si="286"/>
        <v>#N/A</v>
      </c>
    </row>
    <row r="820" spans="1:46" ht="61.5" x14ac:dyDescent="0.85">
      <c r="B820" s="24" t="s">
        <v>1352</v>
      </c>
      <c r="C820" s="24"/>
      <c r="D820" s="31">
        <f>D821</f>
        <v>3284631.43</v>
      </c>
      <c r="E820" s="31">
        <f t="shared" ref="E820:AE820" si="311">E821</f>
        <v>0</v>
      </c>
      <c r="F820" s="31">
        <f t="shared" si="311"/>
        <v>0</v>
      </c>
      <c r="G820" s="31">
        <f t="shared" si="311"/>
        <v>0</v>
      </c>
      <c r="H820" s="31">
        <f t="shared" si="311"/>
        <v>0</v>
      </c>
      <c r="I820" s="31">
        <f t="shared" si="311"/>
        <v>0</v>
      </c>
      <c r="J820" s="31">
        <f t="shared" si="311"/>
        <v>0</v>
      </c>
      <c r="K820" s="33">
        <f t="shared" si="311"/>
        <v>0</v>
      </c>
      <c r="L820" s="31">
        <f t="shared" si="311"/>
        <v>0</v>
      </c>
      <c r="M820" s="31">
        <f t="shared" si="311"/>
        <v>0</v>
      </c>
      <c r="N820" s="31">
        <f t="shared" si="311"/>
        <v>0</v>
      </c>
      <c r="O820" s="31">
        <f t="shared" si="311"/>
        <v>0</v>
      </c>
      <c r="P820" s="31">
        <f t="shared" si="311"/>
        <v>0</v>
      </c>
      <c r="Q820" s="31">
        <f t="shared" si="311"/>
        <v>842.36</v>
      </c>
      <c r="R820" s="31">
        <f t="shared" si="311"/>
        <v>3088306.83</v>
      </c>
      <c r="S820" s="31">
        <f t="shared" si="311"/>
        <v>0</v>
      </c>
      <c r="T820" s="31">
        <f t="shared" si="311"/>
        <v>0</v>
      </c>
      <c r="U820" s="31">
        <f t="shared" si="311"/>
        <v>0</v>
      </c>
      <c r="V820" s="31">
        <f t="shared" si="311"/>
        <v>0</v>
      </c>
      <c r="W820" s="31">
        <f t="shared" si="311"/>
        <v>0</v>
      </c>
      <c r="X820" s="31">
        <f t="shared" si="311"/>
        <v>0</v>
      </c>
      <c r="Y820" s="31">
        <f t="shared" si="311"/>
        <v>0</v>
      </c>
      <c r="Z820" s="31">
        <f t="shared" si="311"/>
        <v>0</v>
      </c>
      <c r="AA820" s="31">
        <f t="shared" si="311"/>
        <v>0</v>
      </c>
      <c r="AB820" s="31">
        <f t="shared" si="311"/>
        <v>0</v>
      </c>
      <c r="AC820" s="31">
        <f t="shared" si="311"/>
        <v>46324.6</v>
      </c>
      <c r="AD820" s="31">
        <f t="shared" si="311"/>
        <v>150000</v>
      </c>
      <c r="AE820" s="31">
        <f t="shared" si="311"/>
        <v>0</v>
      </c>
      <c r="AF820" s="72" t="s">
        <v>794</v>
      </c>
      <c r="AG820" s="72" t="s">
        <v>794</v>
      </c>
      <c r="AH820" s="91" t="s">
        <v>794</v>
      </c>
      <c r="AT820" s="20" t="e">
        <f t="shared" si="286"/>
        <v>#N/A</v>
      </c>
    </row>
    <row r="821" spans="1:46" ht="61.5" x14ac:dyDescent="0.85">
      <c r="A821" s="20">
        <v>1</v>
      </c>
      <c r="B821" s="66">
        <f>SUBTOTAL(103,$A$567:A821)</f>
        <v>240</v>
      </c>
      <c r="C821" s="24" t="s">
        <v>1353</v>
      </c>
      <c r="D821" s="31">
        <f t="shared" si="309"/>
        <v>3284631.43</v>
      </c>
      <c r="E821" s="31">
        <v>0</v>
      </c>
      <c r="F821" s="31">
        <v>0</v>
      </c>
      <c r="G821" s="31">
        <v>0</v>
      </c>
      <c r="H821" s="31">
        <v>0</v>
      </c>
      <c r="I821" s="31">
        <v>0</v>
      </c>
      <c r="J821" s="31">
        <v>0</v>
      </c>
      <c r="K821" s="33">
        <v>0</v>
      </c>
      <c r="L821" s="31">
        <v>0</v>
      </c>
      <c r="M821" s="31">
        <v>0</v>
      </c>
      <c r="N821" s="31">
        <v>0</v>
      </c>
      <c r="O821" s="31">
        <v>0</v>
      </c>
      <c r="P821" s="31">
        <v>0</v>
      </c>
      <c r="Q821" s="31">
        <v>842.36</v>
      </c>
      <c r="R821" s="31">
        <v>3088306.83</v>
      </c>
      <c r="S821" s="31">
        <v>0</v>
      </c>
      <c r="T821" s="31">
        <v>0</v>
      </c>
      <c r="U821" s="31">
        <v>0</v>
      </c>
      <c r="V821" s="31">
        <v>0</v>
      </c>
      <c r="W821" s="31">
        <v>0</v>
      </c>
      <c r="X821" s="31">
        <v>0</v>
      </c>
      <c r="Y821" s="31">
        <v>0</v>
      </c>
      <c r="Z821" s="31">
        <v>0</v>
      </c>
      <c r="AA821" s="31">
        <v>0</v>
      </c>
      <c r="AB821" s="31">
        <v>0</v>
      </c>
      <c r="AC821" s="31">
        <f>ROUND(R821*1.5%,2)</f>
        <v>46324.6</v>
      </c>
      <c r="AD821" s="31">
        <v>150000</v>
      </c>
      <c r="AE821" s="31">
        <v>0</v>
      </c>
      <c r="AF821" s="34">
        <v>2021</v>
      </c>
      <c r="AG821" s="34">
        <v>2021</v>
      </c>
      <c r="AH821" s="35">
        <v>2021</v>
      </c>
    </row>
    <row r="822" spans="1:46" ht="61.5" x14ac:dyDescent="0.85">
      <c r="B822" s="24" t="s">
        <v>910</v>
      </c>
      <c r="C822" s="24"/>
      <c r="D822" s="31">
        <f t="shared" ref="D822:AE822" si="312">SUM(D823)</f>
        <v>2255220</v>
      </c>
      <c r="E822" s="31">
        <f t="shared" si="312"/>
        <v>0</v>
      </c>
      <c r="F822" s="31">
        <f t="shared" si="312"/>
        <v>0</v>
      </c>
      <c r="G822" s="31">
        <f t="shared" si="312"/>
        <v>0</v>
      </c>
      <c r="H822" s="31">
        <f t="shared" si="312"/>
        <v>0</v>
      </c>
      <c r="I822" s="31">
        <f t="shared" si="312"/>
        <v>0</v>
      </c>
      <c r="J822" s="31">
        <f t="shared" si="312"/>
        <v>0</v>
      </c>
      <c r="K822" s="33">
        <f t="shared" si="312"/>
        <v>0</v>
      </c>
      <c r="L822" s="31">
        <f t="shared" si="312"/>
        <v>0</v>
      </c>
      <c r="M822" s="31">
        <f t="shared" si="312"/>
        <v>442.2</v>
      </c>
      <c r="N822" s="31">
        <f t="shared" si="312"/>
        <v>2103665.02</v>
      </c>
      <c r="O822" s="31">
        <f t="shared" si="312"/>
        <v>0</v>
      </c>
      <c r="P822" s="31">
        <f t="shared" si="312"/>
        <v>0</v>
      </c>
      <c r="Q822" s="31">
        <f t="shared" si="312"/>
        <v>0</v>
      </c>
      <c r="R822" s="31">
        <f t="shared" si="312"/>
        <v>0</v>
      </c>
      <c r="S822" s="31">
        <f t="shared" si="312"/>
        <v>0</v>
      </c>
      <c r="T822" s="31">
        <f t="shared" si="312"/>
        <v>0</v>
      </c>
      <c r="U822" s="31">
        <f t="shared" si="312"/>
        <v>0</v>
      </c>
      <c r="V822" s="31">
        <f t="shared" si="312"/>
        <v>0</v>
      </c>
      <c r="W822" s="31">
        <f t="shared" si="312"/>
        <v>0</v>
      </c>
      <c r="X822" s="31">
        <f t="shared" si="312"/>
        <v>0</v>
      </c>
      <c r="Y822" s="31">
        <f t="shared" si="312"/>
        <v>0</v>
      </c>
      <c r="Z822" s="31">
        <f t="shared" si="312"/>
        <v>0</v>
      </c>
      <c r="AA822" s="31">
        <f t="shared" si="312"/>
        <v>0</v>
      </c>
      <c r="AB822" s="31">
        <f t="shared" si="312"/>
        <v>0</v>
      </c>
      <c r="AC822" s="31">
        <f t="shared" si="312"/>
        <v>31554.98</v>
      </c>
      <c r="AD822" s="31">
        <f t="shared" si="312"/>
        <v>120000</v>
      </c>
      <c r="AE822" s="31">
        <f t="shared" si="312"/>
        <v>0</v>
      </c>
      <c r="AF822" s="72" t="s">
        <v>794</v>
      </c>
      <c r="AG822" s="72" t="s">
        <v>794</v>
      </c>
      <c r="AH822" s="91" t="s">
        <v>794</v>
      </c>
      <c r="AT822" s="20" t="e">
        <f t="shared" ref="AT822:AT853" si="313">VLOOKUP(C822,AW:AX,2,FALSE)</f>
        <v>#N/A</v>
      </c>
    </row>
    <row r="823" spans="1:46" ht="61.5" x14ac:dyDescent="0.85">
      <c r="A823" s="20">
        <v>1</v>
      </c>
      <c r="B823" s="66">
        <f>SUBTOTAL(103,$A$567:A823)</f>
        <v>241</v>
      </c>
      <c r="C823" s="24" t="s">
        <v>247</v>
      </c>
      <c r="D823" s="31">
        <f t="shared" ref="D823" si="314">E823+F823+G823+H823+I823+J823+L823+N823+P823+R823+T823+U823+V823+W823+X823+Y823+Z823+AA823+AB823+AC823+AD823+AE823</f>
        <v>2255220</v>
      </c>
      <c r="E823" s="31">
        <v>0</v>
      </c>
      <c r="F823" s="31">
        <v>0</v>
      </c>
      <c r="G823" s="31">
        <v>0</v>
      </c>
      <c r="H823" s="31">
        <v>0</v>
      </c>
      <c r="I823" s="31">
        <v>0</v>
      </c>
      <c r="J823" s="31">
        <v>0</v>
      </c>
      <c r="K823" s="33">
        <v>0</v>
      </c>
      <c r="L823" s="31">
        <v>0</v>
      </c>
      <c r="M823" s="31">
        <v>442.2</v>
      </c>
      <c r="N823" s="31">
        <v>2103665.02</v>
      </c>
      <c r="O823" s="31">
        <v>0</v>
      </c>
      <c r="P823" s="31">
        <v>0</v>
      </c>
      <c r="Q823" s="31">
        <v>0</v>
      </c>
      <c r="R823" s="31">
        <v>0</v>
      </c>
      <c r="S823" s="31">
        <v>0</v>
      </c>
      <c r="T823" s="31">
        <v>0</v>
      </c>
      <c r="U823" s="31">
        <v>0</v>
      </c>
      <c r="V823" s="31">
        <v>0</v>
      </c>
      <c r="W823" s="31">
        <v>0</v>
      </c>
      <c r="X823" s="31">
        <v>0</v>
      </c>
      <c r="Y823" s="31">
        <v>0</v>
      </c>
      <c r="Z823" s="31">
        <v>0</v>
      </c>
      <c r="AA823" s="31">
        <v>0</v>
      </c>
      <c r="AB823" s="31">
        <v>0</v>
      </c>
      <c r="AC823" s="31">
        <f>ROUND(N823*1.5%,2)</f>
        <v>31554.98</v>
      </c>
      <c r="AD823" s="31">
        <v>120000</v>
      </c>
      <c r="AE823" s="31">
        <v>0</v>
      </c>
      <c r="AF823" s="34">
        <v>2021</v>
      </c>
      <c r="AG823" s="34">
        <v>2021</v>
      </c>
      <c r="AH823" s="35">
        <v>2021</v>
      </c>
      <c r="AT823" s="20" t="e">
        <f t="shared" si="313"/>
        <v>#N/A</v>
      </c>
    </row>
    <row r="824" spans="1:46" ht="61.5" x14ac:dyDescent="0.85">
      <c r="B824" s="24" t="s">
        <v>911</v>
      </c>
      <c r="C824" s="118"/>
      <c r="D824" s="31">
        <f t="shared" ref="D824:AE824" si="315">D825</f>
        <v>2610900</v>
      </c>
      <c r="E824" s="31">
        <f t="shared" si="315"/>
        <v>0</v>
      </c>
      <c r="F824" s="31">
        <f t="shared" si="315"/>
        <v>0</v>
      </c>
      <c r="G824" s="31">
        <f t="shared" si="315"/>
        <v>0</v>
      </c>
      <c r="H824" s="31">
        <f t="shared" si="315"/>
        <v>0</v>
      </c>
      <c r="I824" s="31">
        <f t="shared" si="315"/>
        <v>0</v>
      </c>
      <c r="J824" s="31">
        <f t="shared" si="315"/>
        <v>0</v>
      </c>
      <c r="K824" s="33">
        <f t="shared" si="315"/>
        <v>0</v>
      </c>
      <c r="L824" s="31">
        <f t="shared" si="315"/>
        <v>0</v>
      </c>
      <c r="M824" s="31">
        <f t="shared" si="315"/>
        <v>500</v>
      </c>
      <c r="N824" s="31">
        <f t="shared" si="315"/>
        <v>2454088.67</v>
      </c>
      <c r="O824" s="31">
        <f t="shared" si="315"/>
        <v>0</v>
      </c>
      <c r="P824" s="31">
        <f t="shared" si="315"/>
        <v>0</v>
      </c>
      <c r="Q824" s="31">
        <f t="shared" si="315"/>
        <v>0</v>
      </c>
      <c r="R824" s="31">
        <f t="shared" si="315"/>
        <v>0</v>
      </c>
      <c r="S824" s="31">
        <f t="shared" si="315"/>
        <v>0</v>
      </c>
      <c r="T824" s="31">
        <f t="shared" si="315"/>
        <v>0</v>
      </c>
      <c r="U824" s="31">
        <f t="shared" si="315"/>
        <v>0</v>
      </c>
      <c r="V824" s="31">
        <f t="shared" si="315"/>
        <v>0</v>
      </c>
      <c r="W824" s="31">
        <f t="shared" si="315"/>
        <v>0</v>
      </c>
      <c r="X824" s="31">
        <f t="shared" si="315"/>
        <v>0</v>
      </c>
      <c r="Y824" s="31">
        <f t="shared" si="315"/>
        <v>0</v>
      </c>
      <c r="Z824" s="31">
        <f t="shared" si="315"/>
        <v>0</v>
      </c>
      <c r="AA824" s="31">
        <f t="shared" si="315"/>
        <v>0</v>
      </c>
      <c r="AB824" s="31">
        <f t="shared" si="315"/>
        <v>0</v>
      </c>
      <c r="AC824" s="31">
        <f t="shared" si="315"/>
        <v>36811.33</v>
      </c>
      <c r="AD824" s="31">
        <f t="shared" si="315"/>
        <v>120000</v>
      </c>
      <c r="AE824" s="31">
        <f t="shared" si="315"/>
        <v>0</v>
      </c>
      <c r="AF824" s="72" t="s">
        <v>794</v>
      </c>
      <c r="AG824" s="72" t="s">
        <v>794</v>
      </c>
      <c r="AH824" s="91" t="s">
        <v>794</v>
      </c>
      <c r="AT824" s="20" t="e">
        <f t="shared" si="313"/>
        <v>#N/A</v>
      </c>
    </row>
    <row r="825" spans="1:46" ht="61.5" x14ac:dyDescent="0.85">
      <c r="A825" s="20">
        <v>1</v>
      </c>
      <c r="B825" s="66">
        <f>SUBTOTAL(103,$A$567:A825)</f>
        <v>242</v>
      </c>
      <c r="C825" s="25" t="s">
        <v>2</v>
      </c>
      <c r="D825" s="31">
        <f t="shared" ref="D825" si="316">E825+F825+G825+H825+I825+J825+L825+N825+P825+R825+T825+U825+V825+W825+X825+Y825+Z825+AA825+AB825+AC825+AD825+AE825</f>
        <v>2610900</v>
      </c>
      <c r="E825" s="31">
        <v>0</v>
      </c>
      <c r="F825" s="31">
        <v>0</v>
      </c>
      <c r="G825" s="31">
        <v>0</v>
      </c>
      <c r="H825" s="31">
        <v>0</v>
      </c>
      <c r="I825" s="31">
        <v>0</v>
      </c>
      <c r="J825" s="31">
        <v>0</v>
      </c>
      <c r="K825" s="33">
        <v>0</v>
      </c>
      <c r="L825" s="31">
        <v>0</v>
      </c>
      <c r="M825" s="31">
        <v>500</v>
      </c>
      <c r="N825" s="31">
        <v>2454088.67</v>
      </c>
      <c r="O825" s="31">
        <v>0</v>
      </c>
      <c r="P825" s="31">
        <v>0</v>
      </c>
      <c r="Q825" s="31">
        <v>0</v>
      </c>
      <c r="R825" s="31">
        <v>0</v>
      </c>
      <c r="S825" s="31">
        <v>0</v>
      </c>
      <c r="T825" s="31">
        <v>0</v>
      </c>
      <c r="U825" s="31">
        <v>0</v>
      </c>
      <c r="V825" s="31">
        <v>0</v>
      </c>
      <c r="W825" s="31">
        <v>0</v>
      </c>
      <c r="X825" s="31">
        <v>0</v>
      </c>
      <c r="Y825" s="31">
        <v>0</v>
      </c>
      <c r="Z825" s="31">
        <v>0</v>
      </c>
      <c r="AA825" s="31">
        <v>0</v>
      </c>
      <c r="AB825" s="31">
        <v>0</v>
      </c>
      <c r="AC825" s="31">
        <f>ROUND(N825*1.5%,2)</f>
        <v>36811.33</v>
      </c>
      <c r="AD825" s="31">
        <v>120000</v>
      </c>
      <c r="AE825" s="31">
        <v>0</v>
      </c>
      <c r="AF825" s="34">
        <v>2021</v>
      </c>
      <c r="AG825" s="34">
        <v>2021</v>
      </c>
      <c r="AH825" s="35">
        <v>2021</v>
      </c>
      <c r="AT825" s="20" t="e">
        <f t="shared" si="313"/>
        <v>#N/A</v>
      </c>
    </row>
    <row r="826" spans="1:46" ht="61.5" x14ac:dyDescent="0.85">
      <c r="B826" s="24" t="s">
        <v>912</v>
      </c>
      <c r="C826" s="25"/>
      <c r="D826" s="31">
        <f t="shared" ref="D826:AE826" si="317">D827</f>
        <v>3133080</v>
      </c>
      <c r="E826" s="31">
        <f t="shared" si="317"/>
        <v>0</v>
      </c>
      <c r="F826" s="31">
        <f t="shared" si="317"/>
        <v>0</v>
      </c>
      <c r="G826" s="31">
        <f t="shared" si="317"/>
        <v>0</v>
      </c>
      <c r="H826" s="31">
        <f t="shared" si="317"/>
        <v>0</v>
      </c>
      <c r="I826" s="31">
        <f t="shared" si="317"/>
        <v>0</v>
      </c>
      <c r="J826" s="31">
        <f t="shared" si="317"/>
        <v>0</v>
      </c>
      <c r="K826" s="33">
        <f t="shared" si="317"/>
        <v>0</v>
      </c>
      <c r="L826" s="31">
        <f t="shared" si="317"/>
        <v>0</v>
      </c>
      <c r="M826" s="31">
        <f t="shared" si="317"/>
        <v>600</v>
      </c>
      <c r="N826" s="31">
        <f t="shared" si="317"/>
        <v>2938995.07</v>
      </c>
      <c r="O826" s="31">
        <f t="shared" si="317"/>
        <v>0</v>
      </c>
      <c r="P826" s="31">
        <f t="shared" si="317"/>
        <v>0</v>
      </c>
      <c r="Q826" s="31">
        <f t="shared" si="317"/>
        <v>0</v>
      </c>
      <c r="R826" s="31">
        <f t="shared" si="317"/>
        <v>0</v>
      </c>
      <c r="S826" s="31">
        <f t="shared" si="317"/>
        <v>0</v>
      </c>
      <c r="T826" s="31">
        <f t="shared" si="317"/>
        <v>0</v>
      </c>
      <c r="U826" s="31">
        <f t="shared" si="317"/>
        <v>0</v>
      </c>
      <c r="V826" s="31">
        <f t="shared" si="317"/>
        <v>0</v>
      </c>
      <c r="W826" s="31">
        <f t="shared" si="317"/>
        <v>0</v>
      </c>
      <c r="X826" s="31">
        <f t="shared" si="317"/>
        <v>0</v>
      </c>
      <c r="Y826" s="31">
        <f t="shared" si="317"/>
        <v>0</v>
      </c>
      <c r="Z826" s="31">
        <f t="shared" si="317"/>
        <v>0</v>
      </c>
      <c r="AA826" s="31">
        <f t="shared" si="317"/>
        <v>0</v>
      </c>
      <c r="AB826" s="31">
        <f t="shared" si="317"/>
        <v>0</v>
      </c>
      <c r="AC826" s="31">
        <f t="shared" si="317"/>
        <v>44084.93</v>
      </c>
      <c r="AD826" s="31">
        <f t="shared" si="317"/>
        <v>150000</v>
      </c>
      <c r="AE826" s="31">
        <f t="shared" si="317"/>
        <v>0</v>
      </c>
      <c r="AF826" s="72" t="s">
        <v>794</v>
      </c>
      <c r="AG826" s="72" t="s">
        <v>794</v>
      </c>
      <c r="AH826" s="91" t="s">
        <v>794</v>
      </c>
      <c r="AT826" s="20" t="e">
        <f t="shared" si="313"/>
        <v>#N/A</v>
      </c>
    </row>
    <row r="827" spans="1:46" ht="61.5" x14ac:dyDescent="0.85">
      <c r="A827" s="20">
        <v>1</v>
      </c>
      <c r="B827" s="66">
        <f>SUBTOTAL(103,$A$567:A827)</f>
        <v>243</v>
      </c>
      <c r="C827" s="25" t="s">
        <v>1</v>
      </c>
      <c r="D827" s="31">
        <f t="shared" ref="D827" si="318">E827+F827+G827+H827+I827+J827+L827+N827+P827+R827+T827+U827+V827+W827+X827+Y827+Z827+AA827+AB827+AC827+AD827+AE827</f>
        <v>3133080</v>
      </c>
      <c r="E827" s="31">
        <v>0</v>
      </c>
      <c r="F827" s="31">
        <v>0</v>
      </c>
      <c r="G827" s="31">
        <v>0</v>
      </c>
      <c r="H827" s="31">
        <v>0</v>
      </c>
      <c r="I827" s="31">
        <v>0</v>
      </c>
      <c r="J827" s="31">
        <v>0</v>
      </c>
      <c r="K827" s="33">
        <v>0</v>
      </c>
      <c r="L827" s="31">
        <v>0</v>
      </c>
      <c r="M827" s="31">
        <v>600</v>
      </c>
      <c r="N827" s="31">
        <v>2938995.07</v>
      </c>
      <c r="O827" s="31">
        <v>0</v>
      </c>
      <c r="P827" s="31">
        <v>0</v>
      </c>
      <c r="Q827" s="31">
        <v>0</v>
      </c>
      <c r="R827" s="31">
        <v>0</v>
      </c>
      <c r="S827" s="31">
        <v>0</v>
      </c>
      <c r="T827" s="31">
        <v>0</v>
      </c>
      <c r="U827" s="31">
        <v>0</v>
      </c>
      <c r="V827" s="31">
        <v>0</v>
      </c>
      <c r="W827" s="31">
        <v>0</v>
      </c>
      <c r="X827" s="31">
        <v>0</v>
      </c>
      <c r="Y827" s="31">
        <v>0</v>
      </c>
      <c r="Z827" s="31">
        <v>0</v>
      </c>
      <c r="AA827" s="31">
        <v>0</v>
      </c>
      <c r="AB827" s="31">
        <v>0</v>
      </c>
      <c r="AC827" s="31">
        <f>ROUND(N827*1.5%,2)</f>
        <v>44084.93</v>
      </c>
      <c r="AD827" s="31">
        <v>150000</v>
      </c>
      <c r="AE827" s="31">
        <v>0</v>
      </c>
      <c r="AF827" s="34">
        <v>2021</v>
      </c>
      <c r="AG827" s="34">
        <v>2021</v>
      </c>
      <c r="AH827" s="35">
        <v>2021</v>
      </c>
      <c r="AT827" s="20" t="e">
        <f t="shared" si="313"/>
        <v>#N/A</v>
      </c>
    </row>
    <row r="828" spans="1:46" ht="61.5" x14ac:dyDescent="0.85">
      <c r="B828" s="24" t="s">
        <v>871</v>
      </c>
      <c r="C828" s="117"/>
      <c r="D828" s="31">
        <f t="shared" ref="D828:AE828" si="319">D829</f>
        <v>7250046.1200000001</v>
      </c>
      <c r="E828" s="31">
        <f t="shared" si="319"/>
        <v>0</v>
      </c>
      <c r="F828" s="31">
        <f t="shared" si="319"/>
        <v>0</v>
      </c>
      <c r="G828" s="31">
        <f t="shared" si="319"/>
        <v>0</v>
      </c>
      <c r="H828" s="31">
        <f t="shared" si="319"/>
        <v>0</v>
      </c>
      <c r="I828" s="31">
        <f t="shared" si="319"/>
        <v>0</v>
      </c>
      <c r="J828" s="31">
        <f t="shared" si="319"/>
        <v>0</v>
      </c>
      <c r="K828" s="33">
        <f t="shared" si="319"/>
        <v>0</v>
      </c>
      <c r="L828" s="31">
        <f t="shared" si="319"/>
        <v>0</v>
      </c>
      <c r="M828" s="31">
        <f t="shared" si="319"/>
        <v>2000</v>
      </c>
      <c r="N828" s="31">
        <f t="shared" si="319"/>
        <v>6995119.3300000001</v>
      </c>
      <c r="O828" s="31">
        <f t="shared" si="319"/>
        <v>0</v>
      </c>
      <c r="P828" s="31">
        <f t="shared" si="319"/>
        <v>0</v>
      </c>
      <c r="Q828" s="31">
        <f t="shared" si="319"/>
        <v>0</v>
      </c>
      <c r="R828" s="31">
        <f t="shared" si="319"/>
        <v>0</v>
      </c>
      <c r="S828" s="31">
        <f t="shared" si="319"/>
        <v>0</v>
      </c>
      <c r="T828" s="31">
        <f t="shared" si="319"/>
        <v>0</v>
      </c>
      <c r="U828" s="31">
        <f t="shared" si="319"/>
        <v>0</v>
      </c>
      <c r="V828" s="31">
        <f t="shared" si="319"/>
        <v>0</v>
      </c>
      <c r="W828" s="31">
        <f t="shared" si="319"/>
        <v>0</v>
      </c>
      <c r="X828" s="31">
        <f t="shared" si="319"/>
        <v>0</v>
      </c>
      <c r="Y828" s="31">
        <f t="shared" si="319"/>
        <v>0</v>
      </c>
      <c r="Z828" s="31">
        <f t="shared" si="319"/>
        <v>0</v>
      </c>
      <c r="AA828" s="31">
        <f t="shared" si="319"/>
        <v>0</v>
      </c>
      <c r="AB828" s="31">
        <f t="shared" si="319"/>
        <v>0</v>
      </c>
      <c r="AC828" s="31">
        <f t="shared" si="319"/>
        <v>104926.79</v>
      </c>
      <c r="AD828" s="31">
        <f t="shared" si="319"/>
        <v>150000</v>
      </c>
      <c r="AE828" s="31">
        <f t="shared" si="319"/>
        <v>0</v>
      </c>
      <c r="AF828" s="72" t="s">
        <v>794</v>
      </c>
      <c r="AG828" s="72" t="s">
        <v>794</v>
      </c>
      <c r="AH828" s="91" t="s">
        <v>794</v>
      </c>
      <c r="AT828" s="20" t="e">
        <f t="shared" si="313"/>
        <v>#N/A</v>
      </c>
    </row>
    <row r="829" spans="1:46" ht="61.5" x14ac:dyDescent="0.85">
      <c r="A829" s="20">
        <v>1</v>
      </c>
      <c r="B829" s="66">
        <f>SUBTOTAL(103,$A$567:A829)</f>
        <v>244</v>
      </c>
      <c r="C829" s="24" t="s">
        <v>736</v>
      </c>
      <c r="D829" s="31">
        <f t="shared" ref="D829" si="320">E829+F829+G829+H829+I829+J829+L829+N829+P829+R829+T829+U829+V829+W829+X829+Y829+Z829+AA829+AB829+AC829+AD829+AE829</f>
        <v>7250046.1200000001</v>
      </c>
      <c r="E829" s="31">
        <v>0</v>
      </c>
      <c r="F829" s="31">
        <v>0</v>
      </c>
      <c r="G829" s="31">
        <v>0</v>
      </c>
      <c r="H829" s="31">
        <v>0</v>
      </c>
      <c r="I829" s="31">
        <v>0</v>
      </c>
      <c r="J829" s="31">
        <v>0</v>
      </c>
      <c r="K829" s="33">
        <v>0</v>
      </c>
      <c r="L829" s="31">
        <v>0</v>
      </c>
      <c r="M829" s="31">
        <v>2000</v>
      </c>
      <c r="N829" s="31">
        <v>6995119.3300000001</v>
      </c>
      <c r="O829" s="31">
        <v>0</v>
      </c>
      <c r="P829" s="31">
        <v>0</v>
      </c>
      <c r="Q829" s="31">
        <v>0</v>
      </c>
      <c r="R829" s="31">
        <v>0</v>
      </c>
      <c r="S829" s="31">
        <v>0</v>
      </c>
      <c r="T829" s="31">
        <v>0</v>
      </c>
      <c r="U829" s="31">
        <v>0</v>
      </c>
      <c r="V829" s="31">
        <v>0</v>
      </c>
      <c r="W829" s="31">
        <v>0</v>
      </c>
      <c r="X829" s="31">
        <v>0</v>
      </c>
      <c r="Y829" s="31">
        <v>0</v>
      </c>
      <c r="Z829" s="31">
        <v>0</v>
      </c>
      <c r="AA829" s="31">
        <v>0</v>
      </c>
      <c r="AB829" s="31">
        <v>0</v>
      </c>
      <c r="AC829" s="31">
        <f>ROUND(N829*1.5%,2)</f>
        <v>104926.79</v>
      </c>
      <c r="AD829" s="31">
        <v>150000</v>
      </c>
      <c r="AE829" s="31">
        <v>0</v>
      </c>
      <c r="AF829" s="34">
        <v>2021</v>
      </c>
      <c r="AG829" s="34">
        <v>2021</v>
      </c>
      <c r="AH829" s="35">
        <v>2021</v>
      </c>
      <c r="AT829" s="20" t="e">
        <f t="shared" si="313"/>
        <v>#N/A</v>
      </c>
    </row>
    <row r="830" spans="1:46" ht="61.5" x14ac:dyDescent="0.85">
      <c r="B830" s="24" t="s">
        <v>913</v>
      </c>
      <c r="C830" s="24"/>
      <c r="D830" s="31">
        <f t="shared" ref="D830:AE830" si="321">D831</f>
        <v>2473090.71</v>
      </c>
      <c r="E830" s="31">
        <f t="shared" si="321"/>
        <v>0</v>
      </c>
      <c r="F830" s="31">
        <f t="shared" si="321"/>
        <v>0</v>
      </c>
      <c r="G830" s="31">
        <f t="shared" si="321"/>
        <v>0</v>
      </c>
      <c r="H830" s="31">
        <f t="shared" si="321"/>
        <v>0</v>
      </c>
      <c r="I830" s="31">
        <f t="shared" si="321"/>
        <v>0</v>
      </c>
      <c r="J830" s="31">
        <f t="shared" si="321"/>
        <v>0</v>
      </c>
      <c r="K830" s="33">
        <f t="shared" si="321"/>
        <v>0</v>
      </c>
      <c r="L830" s="31">
        <f t="shared" si="321"/>
        <v>0</v>
      </c>
      <c r="M830" s="31">
        <f t="shared" si="321"/>
        <v>600</v>
      </c>
      <c r="N830" s="31">
        <f t="shared" si="321"/>
        <v>2308463.75</v>
      </c>
      <c r="O830" s="31">
        <f t="shared" si="321"/>
        <v>0</v>
      </c>
      <c r="P830" s="31">
        <f t="shared" si="321"/>
        <v>0</v>
      </c>
      <c r="Q830" s="31">
        <f t="shared" si="321"/>
        <v>0</v>
      </c>
      <c r="R830" s="31">
        <f t="shared" si="321"/>
        <v>0</v>
      </c>
      <c r="S830" s="31">
        <f t="shared" si="321"/>
        <v>0</v>
      </c>
      <c r="T830" s="31">
        <f t="shared" si="321"/>
        <v>0</v>
      </c>
      <c r="U830" s="31">
        <f t="shared" si="321"/>
        <v>0</v>
      </c>
      <c r="V830" s="31">
        <f t="shared" si="321"/>
        <v>0</v>
      </c>
      <c r="W830" s="31">
        <f t="shared" si="321"/>
        <v>0</v>
      </c>
      <c r="X830" s="31">
        <f t="shared" si="321"/>
        <v>0</v>
      </c>
      <c r="Y830" s="31">
        <f t="shared" si="321"/>
        <v>0</v>
      </c>
      <c r="Z830" s="31">
        <f t="shared" si="321"/>
        <v>0</v>
      </c>
      <c r="AA830" s="31">
        <f t="shared" si="321"/>
        <v>0</v>
      </c>
      <c r="AB830" s="31">
        <f t="shared" si="321"/>
        <v>0</v>
      </c>
      <c r="AC830" s="31">
        <f t="shared" si="321"/>
        <v>34626.959999999999</v>
      </c>
      <c r="AD830" s="31">
        <f t="shared" si="321"/>
        <v>130000</v>
      </c>
      <c r="AE830" s="31">
        <f t="shared" si="321"/>
        <v>0</v>
      </c>
      <c r="AF830" s="72" t="s">
        <v>794</v>
      </c>
      <c r="AG830" s="72" t="s">
        <v>794</v>
      </c>
      <c r="AH830" s="91" t="s">
        <v>794</v>
      </c>
      <c r="AT830" s="20" t="e">
        <f t="shared" si="313"/>
        <v>#N/A</v>
      </c>
    </row>
    <row r="831" spans="1:46" ht="61.5" x14ac:dyDescent="0.85">
      <c r="A831" s="20">
        <v>1</v>
      </c>
      <c r="B831" s="66">
        <f>SUBTOTAL(103,$A$567:A831)</f>
        <v>245</v>
      </c>
      <c r="C831" s="24" t="s">
        <v>742</v>
      </c>
      <c r="D831" s="31">
        <f t="shared" ref="D831" si="322">E831+F831+G831+H831+I831+J831+L831+N831+P831+R831+T831+U831+V831+W831+X831+Y831+Z831+AA831+AB831+AC831+AD831+AE831</f>
        <v>2473090.71</v>
      </c>
      <c r="E831" s="31">
        <v>0</v>
      </c>
      <c r="F831" s="31">
        <v>0</v>
      </c>
      <c r="G831" s="31">
        <v>0</v>
      </c>
      <c r="H831" s="31">
        <v>0</v>
      </c>
      <c r="I831" s="31">
        <v>0</v>
      </c>
      <c r="J831" s="31">
        <v>0</v>
      </c>
      <c r="K831" s="33">
        <v>0</v>
      </c>
      <c r="L831" s="31">
        <v>0</v>
      </c>
      <c r="M831" s="31">
        <v>600</v>
      </c>
      <c r="N831" s="31">
        <f>2097550.57+210913.18</f>
        <v>2308463.75</v>
      </c>
      <c r="O831" s="31">
        <v>0</v>
      </c>
      <c r="P831" s="31">
        <v>0</v>
      </c>
      <c r="Q831" s="31">
        <v>0</v>
      </c>
      <c r="R831" s="31">
        <v>0</v>
      </c>
      <c r="S831" s="31">
        <v>0</v>
      </c>
      <c r="T831" s="31">
        <v>0</v>
      </c>
      <c r="U831" s="31">
        <v>0</v>
      </c>
      <c r="V831" s="31">
        <v>0</v>
      </c>
      <c r="W831" s="31">
        <v>0</v>
      </c>
      <c r="X831" s="31">
        <v>0</v>
      </c>
      <c r="Y831" s="31">
        <v>0</v>
      </c>
      <c r="Z831" s="31">
        <v>0</v>
      </c>
      <c r="AA831" s="31">
        <v>0</v>
      </c>
      <c r="AB831" s="31">
        <v>0</v>
      </c>
      <c r="AC831" s="31">
        <f>ROUND(N831*1.5%,2)</f>
        <v>34626.959999999999</v>
      </c>
      <c r="AD831" s="31">
        <v>130000</v>
      </c>
      <c r="AE831" s="31">
        <v>0</v>
      </c>
      <c r="AF831" s="34">
        <v>2021</v>
      </c>
      <c r="AG831" s="34">
        <v>2021</v>
      </c>
      <c r="AH831" s="35">
        <v>2021</v>
      </c>
      <c r="AT831" s="20" t="e">
        <f t="shared" si="313"/>
        <v>#N/A</v>
      </c>
    </row>
    <row r="832" spans="1:46" ht="61.5" x14ac:dyDescent="0.85">
      <c r="B832" s="24" t="s">
        <v>872</v>
      </c>
      <c r="C832" s="24"/>
      <c r="D832" s="31">
        <f t="shared" ref="D832:AE832" si="323">D833</f>
        <v>2622646.19</v>
      </c>
      <c r="E832" s="31">
        <f t="shared" si="323"/>
        <v>0</v>
      </c>
      <c r="F832" s="31">
        <f t="shared" si="323"/>
        <v>0</v>
      </c>
      <c r="G832" s="31">
        <f t="shared" si="323"/>
        <v>0</v>
      </c>
      <c r="H832" s="31">
        <f t="shared" si="323"/>
        <v>0</v>
      </c>
      <c r="I832" s="31">
        <f t="shared" si="323"/>
        <v>0</v>
      </c>
      <c r="J832" s="31">
        <f t="shared" si="323"/>
        <v>0</v>
      </c>
      <c r="K832" s="33">
        <f t="shared" si="323"/>
        <v>0</v>
      </c>
      <c r="L832" s="31">
        <f t="shared" si="323"/>
        <v>0</v>
      </c>
      <c r="M832" s="31">
        <f t="shared" si="323"/>
        <v>702</v>
      </c>
      <c r="N832" s="31">
        <f t="shared" si="323"/>
        <v>2455809.0499999998</v>
      </c>
      <c r="O832" s="31">
        <f t="shared" si="323"/>
        <v>0</v>
      </c>
      <c r="P832" s="31">
        <f t="shared" si="323"/>
        <v>0</v>
      </c>
      <c r="Q832" s="31">
        <f t="shared" si="323"/>
        <v>0</v>
      </c>
      <c r="R832" s="31">
        <f t="shared" si="323"/>
        <v>0</v>
      </c>
      <c r="S832" s="31">
        <f t="shared" si="323"/>
        <v>0</v>
      </c>
      <c r="T832" s="31">
        <f t="shared" si="323"/>
        <v>0</v>
      </c>
      <c r="U832" s="31">
        <f t="shared" si="323"/>
        <v>0</v>
      </c>
      <c r="V832" s="31">
        <f t="shared" si="323"/>
        <v>0</v>
      </c>
      <c r="W832" s="31">
        <f t="shared" si="323"/>
        <v>0</v>
      </c>
      <c r="X832" s="31">
        <f t="shared" si="323"/>
        <v>0</v>
      </c>
      <c r="Y832" s="31">
        <f t="shared" si="323"/>
        <v>0</v>
      </c>
      <c r="Z832" s="31">
        <f t="shared" si="323"/>
        <v>0</v>
      </c>
      <c r="AA832" s="31">
        <f t="shared" si="323"/>
        <v>0</v>
      </c>
      <c r="AB832" s="31">
        <f t="shared" si="323"/>
        <v>0</v>
      </c>
      <c r="AC832" s="31">
        <f t="shared" si="323"/>
        <v>36837.14</v>
      </c>
      <c r="AD832" s="31">
        <f t="shared" si="323"/>
        <v>130000</v>
      </c>
      <c r="AE832" s="31">
        <f t="shared" si="323"/>
        <v>0</v>
      </c>
      <c r="AF832" s="72" t="s">
        <v>794</v>
      </c>
      <c r="AG832" s="72" t="s">
        <v>794</v>
      </c>
      <c r="AH832" s="91" t="s">
        <v>794</v>
      </c>
      <c r="AT832" s="20" t="e">
        <f t="shared" si="313"/>
        <v>#N/A</v>
      </c>
    </row>
    <row r="833" spans="1:46" ht="61.5" x14ac:dyDescent="0.85">
      <c r="A833" s="20">
        <v>1</v>
      </c>
      <c r="B833" s="66">
        <f>SUBTOTAL(103,$A$567:A833)</f>
        <v>246</v>
      </c>
      <c r="C833" s="24" t="s">
        <v>739</v>
      </c>
      <c r="D833" s="31">
        <f t="shared" ref="D833" si="324">E833+F833+G833+H833+I833+J833+L833+N833+P833+R833+T833+U833+V833+W833+X833+Y833+Z833+AA833+AB833+AC833+AD833+AE833</f>
        <v>2622646.19</v>
      </c>
      <c r="E833" s="31">
        <v>0</v>
      </c>
      <c r="F833" s="31">
        <v>0</v>
      </c>
      <c r="G833" s="31">
        <v>0</v>
      </c>
      <c r="H833" s="31">
        <v>0</v>
      </c>
      <c r="I833" s="31">
        <v>0</v>
      </c>
      <c r="J833" s="31">
        <v>0</v>
      </c>
      <c r="K833" s="33">
        <v>0</v>
      </c>
      <c r="L833" s="31">
        <v>0</v>
      </c>
      <c r="M833" s="31">
        <v>702</v>
      </c>
      <c r="N833" s="31">
        <v>2455809.0499999998</v>
      </c>
      <c r="O833" s="31">
        <v>0</v>
      </c>
      <c r="P833" s="31">
        <v>0</v>
      </c>
      <c r="Q833" s="31">
        <v>0</v>
      </c>
      <c r="R833" s="31">
        <v>0</v>
      </c>
      <c r="S833" s="31">
        <v>0</v>
      </c>
      <c r="T833" s="31">
        <v>0</v>
      </c>
      <c r="U833" s="31">
        <v>0</v>
      </c>
      <c r="V833" s="31">
        <v>0</v>
      </c>
      <c r="W833" s="31">
        <v>0</v>
      </c>
      <c r="X833" s="31">
        <v>0</v>
      </c>
      <c r="Y833" s="31">
        <v>0</v>
      </c>
      <c r="Z833" s="31">
        <v>0</v>
      </c>
      <c r="AA833" s="31">
        <v>0</v>
      </c>
      <c r="AB833" s="31">
        <v>0</v>
      </c>
      <c r="AC833" s="31">
        <f>ROUND(N833*1.5%,2)</f>
        <v>36837.14</v>
      </c>
      <c r="AD833" s="31">
        <v>130000</v>
      </c>
      <c r="AE833" s="31">
        <v>0</v>
      </c>
      <c r="AF833" s="34">
        <v>2021</v>
      </c>
      <c r="AG833" s="34">
        <v>2021</v>
      </c>
      <c r="AH833" s="35">
        <v>2021</v>
      </c>
      <c r="AT833" s="20" t="e">
        <f t="shared" si="313"/>
        <v>#N/A</v>
      </c>
    </row>
    <row r="834" spans="1:46" ht="61.5" x14ac:dyDescent="0.85">
      <c r="B834" s="24" t="s">
        <v>874</v>
      </c>
      <c r="C834" s="117"/>
      <c r="D834" s="31">
        <f t="shared" ref="D834:AE834" si="325">SUM(D835:D842)</f>
        <v>29283340</v>
      </c>
      <c r="E834" s="31">
        <f t="shared" si="325"/>
        <v>0</v>
      </c>
      <c r="F834" s="31">
        <f t="shared" si="325"/>
        <v>0</v>
      </c>
      <c r="G834" s="31">
        <f t="shared" si="325"/>
        <v>0</v>
      </c>
      <c r="H834" s="31">
        <f t="shared" si="325"/>
        <v>0</v>
      </c>
      <c r="I834" s="31">
        <f t="shared" si="325"/>
        <v>0</v>
      </c>
      <c r="J834" s="31">
        <f t="shared" si="325"/>
        <v>0</v>
      </c>
      <c r="K834" s="33">
        <f t="shared" si="325"/>
        <v>0</v>
      </c>
      <c r="L834" s="31">
        <f t="shared" si="325"/>
        <v>0</v>
      </c>
      <c r="M834" s="31">
        <f t="shared" si="325"/>
        <v>6038.4199999999992</v>
      </c>
      <c r="N834" s="31">
        <f t="shared" si="325"/>
        <v>27668315.270000003</v>
      </c>
      <c r="O834" s="31">
        <f t="shared" si="325"/>
        <v>0</v>
      </c>
      <c r="P834" s="31">
        <f t="shared" si="325"/>
        <v>0</v>
      </c>
      <c r="Q834" s="31">
        <f t="shared" si="325"/>
        <v>0</v>
      </c>
      <c r="R834" s="31">
        <f t="shared" si="325"/>
        <v>0</v>
      </c>
      <c r="S834" s="31">
        <f t="shared" si="325"/>
        <v>0</v>
      </c>
      <c r="T834" s="31">
        <f t="shared" si="325"/>
        <v>0</v>
      </c>
      <c r="U834" s="31">
        <f t="shared" si="325"/>
        <v>0</v>
      </c>
      <c r="V834" s="31">
        <f t="shared" si="325"/>
        <v>0</v>
      </c>
      <c r="W834" s="31">
        <f t="shared" si="325"/>
        <v>0</v>
      </c>
      <c r="X834" s="31">
        <f t="shared" si="325"/>
        <v>0</v>
      </c>
      <c r="Y834" s="31">
        <f t="shared" si="325"/>
        <v>0</v>
      </c>
      <c r="Z834" s="31">
        <f t="shared" si="325"/>
        <v>0</v>
      </c>
      <c r="AA834" s="31">
        <f t="shared" si="325"/>
        <v>0</v>
      </c>
      <c r="AB834" s="31">
        <f t="shared" si="325"/>
        <v>0</v>
      </c>
      <c r="AC834" s="31">
        <f t="shared" si="325"/>
        <v>415024.73</v>
      </c>
      <c r="AD834" s="31">
        <f t="shared" si="325"/>
        <v>1200000</v>
      </c>
      <c r="AE834" s="31">
        <f t="shared" si="325"/>
        <v>0</v>
      </c>
      <c r="AF834" s="72" t="s">
        <v>794</v>
      </c>
      <c r="AG834" s="72" t="s">
        <v>794</v>
      </c>
      <c r="AH834" s="91" t="s">
        <v>794</v>
      </c>
      <c r="AT834" s="20" t="e">
        <f t="shared" si="313"/>
        <v>#N/A</v>
      </c>
    </row>
    <row r="835" spans="1:46" ht="61.5" x14ac:dyDescent="0.85">
      <c r="A835" s="20">
        <v>1</v>
      </c>
      <c r="B835" s="66">
        <f>SUBTOTAL(103,$A$567:A835)</f>
        <v>247</v>
      </c>
      <c r="C835" s="24" t="s">
        <v>124</v>
      </c>
      <c r="D835" s="31">
        <f t="shared" ref="D835:D842" si="326">E835+F835+G835+H835+I835+J835+L835+N835+P835+R835+T835+U835+V835+W835+X835+Y835+Z835+AA835+AB835+AC835+AD835+AE835</f>
        <v>3312500</v>
      </c>
      <c r="E835" s="31">
        <v>0</v>
      </c>
      <c r="F835" s="31">
        <v>0</v>
      </c>
      <c r="G835" s="31">
        <v>0</v>
      </c>
      <c r="H835" s="31">
        <v>0</v>
      </c>
      <c r="I835" s="31">
        <v>0</v>
      </c>
      <c r="J835" s="31">
        <v>0</v>
      </c>
      <c r="K835" s="33">
        <v>0</v>
      </c>
      <c r="L835" s="31">
        <v>0</v>
      </c>
      <c r="M835" s="31">
        <v>662.5</v>
      </c>
      <c r="N835" s="31">
        <v>3115763.55</v>
      </c>
      <c r="O835" s="31">
        <v>0</v>
      </c>
      <c r="P835" s="31">
        <v>0</v>
      </c>
      <c r="Q835" s="31">
        <v>0</v>
      </c>
      <c r="R835" s="31">
        <v>0</v>
      </c>
      <c r="S835" s="31">
        <v>0</v>
      </c>
      <c r="T835" s="31">
        <v>0</v>
      </c>
      <c r="U835" s="31">
        <v>0</v>
      </c>
      <c r="V835" s="31">
        <v>0</v>
      </c>
      <c r="W835" s="31">
        <v>0</v>
      </c>
      <c r="X835" s="31">
        <v>0</v>
      </c>
      <c r="Y835" s="31">
        <v>0</v>
      </c>
      <c r="Z835" s="31">
        <v>0</v>
      </c>
      <c r="AA835" s="31">
        <v>0</v>
      </c>
      <c r="AB835" s="31">
        <v>0</v>
      </c>
      <c r="AC835" s="31">
        <f t="shared" ref="AC835:AC842" si="327">ROUND(N835*1.5%,2)</f>
        <v>46736.45</v>
      </c>
      <c r="AD835" s="31">
        <v>150000</v>
      </c>
      <c r="AE835" s="31">
        <v>0</v>
      </c>
      <c r="AF835" s="34">
        <v>2021</v>
      </c>
      <c r="AG835" s="34">
        <v>2021</v>
      </c>
      <c r="AH835" s="35">
        <v>2021</v>
      </c>
      <c r="AT835" s="20" t="e">
        <f t="shared" si="313"/>
        <v>#N/A</v>
      </c>
    </row>
    <row r="836" spans="1:46" ht="61.5" x14ac:dyDescent="0.85">
      <c r="A836" s="20">
        <v>1</v>
      </c>
      <c r="B836" s="66">
        <f>SUBTOTAL(103,$A$567:A836)</f>
        <v>248</v>
      </c>
      <c r="C836" s="24" t="s">
        <v>129</v>
      </c>
      <c r="D836" s="31">
        <f t="shared" si="326"/>
        <v>3771000</v>
      </c>
      <c r="E836" s="31">
        <v>0</v>
      </c>
      <c r="F836" s="31">
        <v>0</v>
      </c>
      <c r="G836" s="31">
        <v>0</v>
      </c>
      <c r="H836" s="31">
        <v>0</v>
      </c>
      <c r="I836" s="31">
        <v>0</v>
      </c>
      <c r="J836" s="31">
        <v>0</v>
      </c>
      <c r="K836" s="33">
        <v>0</v>
      </c>
      <c r="L836" s="31">
        <v>0</v>
      </c>
      <c r="M836" s="31">
        <v>754.2</v>
      </c>
      <c r="N836" s="31">
        <v>3567487.68</v>
      </c>
      <c r="O836" s="31">
        <v>0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0</v>
      </c>
      <c r="V836" s="31">
        <v>0</v>
      </c>
      <c r="W836" s="31">
        <v>0</v>
      </c>
      <c r="X836" s="31">
        <v>0</v>
      </c>
      <c r="Y836" s="31">
        <v>0</v>
      </c>
      <c r="Z836" s="31">
        <v>0</v>
      </c>
      <c r="AA836" s="31">
        <v>0</v>
      </c>
      <c r="AB836" s="31">
        <v>0</v>
      </c>
      <c r="AC836" s="31">
        <f t="shared" si="327"/>
        <v>53512.32</v>
      </c>
      <c r="AD836" s="31">
        <v>150000</v>
      </c>
      <c r="AE836" s="31">
        <v>0</v>
      </c>
      <c r="AF836" s="34">
        <v>2021</v>
      </c>
      <c r="AG836" s="34">
        <v>2021</v>
      </c>
      <c r="AH836" s="35">
        <v>2021</v>
      </c>
      <c r="AT836" s="20" t="e">
        <f t="shared" si="313"/>
        <v>#N/A</v>
      </c>
    </row>
    <row r="837" spans="1:46" ht="61.5" x14ac:dyDescent="0.85">
      <c r="A837" s="20">
        <v>1</v>
      </c>
      <c r="B837" s="66">
        <f>SUBTOTAL(103,$A$567:A837)</f>
        <v>249</v>
      </c>
      <c r="C837" s="24" t="s">
        <v>127</v>
      </c>
      <c r="D837" s="31">
        <f t="shared" si="326"/>
        <v>4430000</v>
      </c>
      <c r="E837" s="31">
        <v>0</v>
      </c>
      <c r="F837" s="31">
        <v>0</v>
      </c>
      <c r="G837" s="31">
        <v>0</v>
      </c>
      <c r="H837" s="31">
        <v>0</v>
      </c>
      <c r="I837" s="31">
        <v>0</v>
      </c>
      <c r="J837" s="31">
        <v>0</v>
      </c>
      <c r="K837" s="33">
        <v>0</v>
      </c>
      <c r="L837" s="31">
        <v>0</v>
      </c>
      <c r="M837" s="31">
        <v>886</v>
      </c>
      <c r="N837" s="31">
        <v>4216748.7699999996</v>
      </c>
      <c r="O837" s="31">
        <v>0</v>
      </c>
      <c r="P837" s="31">
        <v>0</v>
      </c>
      <c r="Q837" s="31">
        <v>0</v>
      </c>
      <c r="R837" s="31">
        <v>0</v>
      </c>
      <c r="S837" s="31">
        <v>0</v>
      </c>
      <c r="T837" s="31">
        <v>0</v>
      </c>
      <c r="U837" s="31">
        <v>0</v>
      </c>
      <c r="V837" s="31">
        <v>0</v>
      </c>
      <c r="W837" s="31">
        <v>0</v>
      </c>
      <c r="X837" s="31">
        <v>0</v>
      </c>
      <c r="Y837" s="31">
        <v>0</v>
      </c>
      <c r="Z837" s="31">
        <v>0</v>
      </c>
      <c r="AA837" s="31">
        <v>0</v>
      </c>
      <c r="AB837" s="31">
        <v>0</v>
      </c>
      <c r="AC837" s="31">
        <f t="shared" si="327"/>
        <v>63251.23</v>
      </c>
      <c r="AD837" s="31">
        <v>150000</v>
      </c>
      <c r="AE837" s="31">
        <v>0</v>
      </c>
      <c r="AF837" s="34">
        <v>2021</v>
      </c>
      <c r="AG837" s="34">
        <v>2021</v>
      </c>
      <c r="AH837" s="35">
        <v>2021</v>
      </c>
      <c r="AT837" s="20" t="e">
        <f t="shared" si="313"/>
        <v>#N/A</v>
      </c>
    </row>
    <row r="838" spans="1:46" ht="61.5" x14ac:dyDescent="0.85">
      <c r="A838" s="20">
        <v>1</v>
      </c>
      <c r="B838" s="66">
        <f>SUBTOTAL(103,$A$567:A838)</f>
        <v>250</v>
      </c>
      <c r="C838" s="24" t="s">
        <v>130</v>
      </c>
      <c r="D838" s="31">
        <f t="shared" si="326"/>
        <v>3350000</v>
      </c>
      <c r="E838" s="31">
        <v>0</v>
      </c>
      <c r="F838" s="31">
        <v>0</v>
      </c>
      <c r="G838" s="31">
        <v>0</v>
      </c>
      <c r="H838" s="31">
        <v>0</v>
      </c>
      <c r="I838" s="31">
        <v>0</v>
      </c>
      <c r="J838" s="31">
        <v>0</v>
      </c>
      <c r="K838" s="33">
        <v>0</v>
      </c>
      <c r="L838" s="31">
        <v>0</v>
      </c>
      <c r="M838" s="31">
        <v>670</v>
      </c>
      <c r="N838" s="31">
        <v>3152709.36</v>
      </c>
      <c r="O838" s="31">
        <v>0</v>
      </c>
      <c r="P838" s="31">
        <v>0</v>
      </c>
      <c r="Q838" s="31">
        <v>0</v>
      </c>
      <c r="R838" s="31">
        <v>0</v>
      </c>
      <c r="S838" s="31">
        <v>0</v>
      </c>
      <c r="T838" s="31">
        <v>0</v>
      </c>
      <c r="U838" s="31">
        <v>0</v>
      </c>
      <c r="V838" s="31">
        <v>0</v>
      </c>
      <c r="W838" s="31">
        <v>0</v>
      </c>
      <c r="X838" s="31">
        <v>0</v>
      </c>
      <c r="Y838" s="31">
        <v>0</v>
      </c>
      <c r="Z838" s="31">
        <v>0</v>
      </c>
      <c r="AA838" s="31">
        <v>0</v>
      </c>
      <c r="AB838" s="31">
        <v>0</v>
      </c>
      <c r="AC838" s="31">
        <f t="shared" si="327"/>
        <v>47290.64</v>
      </c>
      <c r="AD838" s="31">
        <v>150000</v>
      </c>
      <c r="AE838" s="31">
        <v>0</v>
      </c>
      <c r="AF838" s="34">
        <v>2021</v>
      </c>
      <c r="AG838" s="34">
        <v>2021</v>
      </c>
      <c r="AH838" s="35">
        <v>2021</v>
      </c>
      <c r="AT838" s="20">
        <f t="shared" si="313"/>
        <v>1</v>
      </c>
    </row>
    <row r="839" spans="1:46" ht="61.5" x14ac:dyDescent="0.85">
      <c r="A839" s="20">
        <v>1</v>
      </c>
      <c r="B839" s="66">
        <f>SUBTOTAL(103,$A$567:A839)</f>
        <v>251</v>
      </c>
      <c r="C839" s="24" t="s">
        <v>128</v>
      </c>
      <c r="D839" s="31">
        <f t="shared" si="326"/>
        <v>3080600</v>
      </c>
      <c r="E839" s="31">
        <v>0</v>
      </c>
      <c r="F839" s="31">
        <v>0</v>
      </c>
      <c r="G839" s="31">
        <v>0</v>
      </c>
      <c r="H839" s="31">
        <v>0</v>
      </c>
      <c r="I839" s="31">
        <v>0</v>
      </c>
      <c r="J839" s="31">
        <v>0</v>
      </c>
      <c r="K839" s="33">
        <v>0</v>
      </c>
      <c r="L839" s="31">
        <v>0</v>
      </c>
      <c r="M839" s="31">
        <v>616.12</v>
      </c>
      <c r="N839" s="31">
        <v>2887290.64</v>
      </c>
      <c r="O839" s="31">
        <v>0</v>
      </c>
      <c r="P839" s="31">
        <v>0</v>
      </c>
      <c r="Q839" s="31">
        <v>0</v>
      </c>
      <c r="R839" s="31">
        <v>0</v>
      </c>
      <c r="S839" s="31">
        <v>0</v>
      </c>
      <c r="T839" s="31">
        <v>0</v>
      </c>
      <c r="U839" s="31">
        <v>0</v>
      </c>
      <c r="V839" s="31">
        <v>0</v>
      </c>
      <c r="W839" s="31">
        <v>0</v>
      </c>
      <c r="X839" s="31">
        <v>0</v>
      </c>
      <c r="Y839" s="31">
        <v>0</v>
      </c>
      <c r="Z839" s="31">
        <v>0</v>
      </c>
      <c r="AA839" s="31">
        <v>0</v>
      </c>
      <c r="AB839" s="31">
        <v>0</v>
      </c>
      <c r="AC839" s="31">
        <f t="shared" si="327"/>
        <v>43309.36</v>
      </c>
      <c r="AD839" s="31">
        <v>150000</v>
      </c>
      <c r="AE839" s="31">
        <v>0</v>
      </c>
      <c r="AF839" s="34">
        <v>2021</v>
      </c>
      <c r="AG839" s="34">
        <v>2021</v>
      </c>
      <c r="AH839" s="35">
        <v>2021</v>
      </c>
      <c r="AT839" s="20" t="e">
        <f t="shared" si="313"/>
        <v>#N/A</v>
      </c>
    </row>
    <row r="840" spans="1:46" ht="61.5" x14ac:dyDescent="0.85">
      <c r="A840" s="20">
        <v>1</v>
      </c>
      <c r="B840" s="66">
        <f>SUBTOTAL(103,$A$567:A840)</f>
        <v>252</v>
      </c>
      <c r="C840" s="24" t="s">
        <v>125</v>
      </c>
      <c r="D840" s="31">
        <f t="shared" si="326"/>
        <v>3404280</v>
      </c>
      <c r="E840" s="31">
        <v>0</v>
      </c>
      <c r="F840" s="31">
        <v>0</v>
      </c>
      <c r="G840" s="31">
        <v>0</v>
      </c>
      <c r="H840" s="31">
        <v>0</v>
      </c>
      <c r="I840" s="31">
        <v>0</v>
      </c>
      <c r="J840" s="31">
        <v>0</v>
      </c>
      <c r="K840" s="33">
        <v>0</v>
      </c>
      <c r="L840" s="31">
        <v>0</v>
      </c>
      <c r="M840" s="31">
        <v>773.7</v>
      </c>
      <c r="N840" s="31">
        <v>3206187.19</v>
      </c>
      <c r="O840" s="31">
        <v>0</v>
      </c>
      <c r="P840" s="31">
        <v>0</v>
      </c>
      <c r="Q840" s="31">
        <v>0</v>
      </c>
      <c r="R840" s="31">
        <v>0</v>
      </c>
      <c r="S840" s="31">
        <v>0</v>
      </c>
      <c r="T840" s="31">
        <v>0</v>
      </c>
      <c r="U840" s="31">
        <v>0</v>
      </c>
      <c r="V840" s="31">
        <v>0</v>
      </c>
      <c r="W840" s="31">
        <v>0</v>
      </c>
      <c r="X840" s="31">
        <v>0</v>
      </c>
      <c r="Y840" s="31">
        <v>0</v>
      </c>
      <c r="Z840" s="31">
        <v>0</v>
      </c>
      <c r="AA840" s="31">
        <v>0</v>
      </c>
      <c r="AB840" s="31">
        <v>0</v>
      </c>
      <c r="AC840" s="31">
        <f t="shared" si="327"/>
        <v>48092.81</v>
      </c>
      <c r="AD840" s="31">
        <v>150000</v>
      </c>
      <c r="AE840" s="31">
        <v>0</v>
      </c>
      <c r="AF840" s="34">
        <v>2021</v>
      </c>
      <c r="AG840" s="34">
        <v>2021</v>
      </c>
      <c r="AH840" s="35">
        <v>2021</v>
      </c>
      <c r="AT840" s="20" t="e">
        <f t="shared" si="313"/>
        <v>#N/A</v>
      </c>
    </row>
    <row r="841" spans="1:46" ht="61.5" x14ac:dyDescent="0.85">
      <c r="A841" s="20">
        <v>1</v>
      </c>
      <c r="B841" s="66">
        <f>SUBTOTAL(103,$A$567:A841)</f>
        <v>253</v>
      </c>
      <c r="C841" s="24" t="s">
        <v>126</v>
      </c>
      <c r="D841" s="31">
        <f t="shared" si="326"/>
        <v>4675000</v>
      </c>
      <c r="E841" s="31">
        <v>0</v>
      </c>
      <c r="F841" s="31">
        <v>0</v>
      </c>
      <c r="G841" s="31">
        <v>0</v>
      </c>
      <c r="H841" s="31">
        <v>0</v>
      </c>
      <c r="I841" s="31">
        <v>0</v>
      </c>
      <c r="J841" s="31">
        <v>0</v>
      </c>
      <c r="K841" s="33">
        <v>0</v>
      </c>
      <c r="L841" s="31">
        <v>0</v>
      </c>
      <c r="M841" s="31">
        <v>935</v>
      </c>
      <c r="N841" s="31">
        <v>4458128.08</v>
      </c>
      <c r="O841" s="31">
        <v>0</v>
      </c>
      <c r="P841" s="31">
        <v>0</v>
      </c>
      <c r="Q841" s="31">
        <v>0</v>
      </c>
      <c r="R841" s="31">
        <v>0</v>
      </c>
      <c r="S841" s="31">
        <v>0</v>
      </c>
      <c r="T841" s="31">
        <v>0</v>
      </c>
      <c r="U841" s="31">
        <v>0</v>
      </c>
      <c r="V841" s="31">
        <v>0</v>
      </c>
      <c r="W841" s="31">
        <v>0</v>
      </c>
      <c r="X841" s="31">
        <v>0</v>
      </c>
      <c r="Y841" s="31">
        <v>0</v>
      </c>
      <c r="Z841" s="31">
        <v>0</v>
      </c>
      <c r="AA841" s="31">
        <v>0</v>
      </c>
      <c r="AB841" s="31">
        <v>0</v>
      </c>
      <c r="AC841" s="31">
        <f t="shared" si="327"/>
        <v>66871.92</v>
      </c>
      <c r="AD841" s="31">
        <v>150000</v>
      </c>
      <c r="AE841" s="31">
        <v>0</v>
      </c>
      <c r="AF841" s="34">
        <v>2021</v>
      </c>
      <c r="AG841" s="34">
        <v>2021</v>
      </c>
      <c r="AH841" s="35">
        <v>2021</v>
      </c>
      <c r="AT841" s="20" t="e">
        <f t="shared" si="313"/>
        <v>#N/A</v>
      </c>
    </row>
    <row r="842" spans="1:46" ht="61.5" x14ac:dyDescent="0.85">
      <c r="A842" s="20">
        <v>1</v>
      </c>
      <c r="B842" s="66">
        <f>SUBTOTAL(103,$A$567:A842)</f>
        <v>254</v>
      </c>
      <c r="C842" s="24" t="s">
        <v>131</v>
      </c>
      <c r="D842" s="31">
        <f t="shared" si="326"/>
        <v>3259960</v>
      </c>
      <c r="E842" s="31">
        <v>0</v>
      </c>
      <c r="F842" s="31">
        <v>0</v>
      </c>
      <c r="G842" s="31">
        <v>0</v>
      </c>
      <c r="H842" s="31">
        <v>0</v>
      </c>
      <c r="I842" s="31">
        <v>0</v>
      </c>
      <c r="J842" s="31">
        <v>0</v>
      </c>
      <c r="K842" s="33">
        <v>0</v>
      </c>
      <c r="L842" s="31">
        <v>0</v>
      </c>
      <c r="M842" s="31">
        <v>740.9</v>
      </c>
      <c r="N842" s="31">
        <v>3064000</v>
      </c>
      <c r="O842" s="31">
        <v>0</v>
      </c>
      <c r="P842" s="31">
        <v>0</v>
      </c>
      <c r="Q842" s="31">
        <v>0</v>
      </c>
      <c r="R842" s="31">
        <v>0</v>
      </c>
      <c r="S842" s="31">
        <v>0</v>
      </c>
      <c r="T842" s="31">
        <v>0</v>
      </c>
      <c r="U842" s="31">
        <v>0</v>
      </c>
      <c r="V842" s="31">
        <v>0</v>
      </c>
      <c r="W842" s="31">
        <v>0</v>
      </c>
      <c r="X842" s="31">
        <v>0</v>
      </c>
      <c r="Y842" s="31">
        <v>0</v>
      </c>
      <c r="Z842" s="31">
        <v>0</v>
      </c>
      <c r="AA842" s="31">
        <v>0</v>
      </c>
      <c r="AB842" s="31">
        <v>0</v>
      </c>
      <c r="AC842" s="31">
        <f t="shared" si="327"/>
        <v>45960</v>
      </c>
      <c r="AD842" s="31">
        <v>150000</v>
      </c>
      <c r="AE842" s="31">
        <v>0</v>
      </c>
      <c r="AF842" s="34">
        <v>2021</v>
      </c>
      <c r="AG842" s="34">
        <v>2021</v>
      </c>
      <c r="AH842" s="35">
        <v>2021</v>
      </c>
      <c r="AT842" s="20" t="e">
        <f t="shared" si="313"/>
        <v>#N/A</v>
      </c>
    </row>
    <row r="843" spans="1:46" ht="61.5" x14ac:dyDescent="0.85">
      <c r="B843" s="24" t="s">
        <v>879</v>
      </c>
      <c r="C843" s="117"/>
      <c r="D843" s="31">
        <f t="shared" ref="D843:AE843" si="328">D844</f>
        <v>3328825.5</v>
      </c>
      <c r="E843" s="31">
        <f t="shared" si="328"/>
        <v>0</v>
      </c>
      <c r="F843" s="31">
        <f t="shared" si="328"/>
        <v>0</v>
      </c>
      <c r="G843" s="31">
        <f t="shared" si="328"/>
        <v>0</v>
      </c>
      <c r="H843" s="31">
        <f t="shared" si="328"/>
        <v>0</v>
      </c>
      <c r="I843" s="31">
        <f t="shared" si="328"/>
        <v>0</v>
      </c>
      <c r="J843" s="31">
        <f t="shared" si="328"/>
        <v>0</v>
      </c>
      <c r="K843" s="33">
        <f t="shared" si="328"/>
        <v>0</v>
      </c>
      <c r="L843" s="31">
        <f t="shared" si="328"/>
        <v>0</v>
      </c>
      <c r="M843" s="31">
        <f t="shared" si="328"/>
        <v>650</v>
      </c>
      <c r="N843" s="31">
        <f t="shared" si="328"/>
        <v>3131847.78</v>
      </c>
      <c r="O843" s="31">
        <f t="shared" si="328"/>
        <v>0</v>
      </c>
      <c r="P843" s="31">
        <f t="shared" si="328"/>
        <v>0</v>
      </c>
      <c r="Q843" s="31">
        <f t="shared" si="328"/>
        <v>0</v>
      </c>
      <c r="R843" s="31">
        <f t="shared" si="328"/>
        <v>0</v>
      </c>
      <c r="S843" s="31">
        <f t="shared" si="328"/>
        <v>0</v>
      </c>
      <c r="T843" s="31">
        <f t="shared" si="328"/>
        <v>0</v>
      </c>
      <c r="U843" s="31">
        <f t="shared" si="328"/>
        <v>0</v>
      </c>
      <c r="V843" s="31">
        <f t="shared" si="328"/>
        <v>0</v>
      </c>
      <c r="W843" s="31">
        <f t="shared" si="328"/>
        <v>0</v>
      </c>
      <c r="X843" s="31">
        <f t="shared" si="328"/>
        <v>0</v>
      </c>
      <c r="Y843" s="31">
        <f t="shared" si="328"/>
        <v>0</v>
      </c>
      <c r="Z843" s="31">
        <f t="shared" si="328"/>
        <v>0</v>
      </c>
      <c r="AA843" s="31">
        <f t="shared" si="328"/>
        <v>0</v>
      </c>
      <c r="AB843" s="31">
        <f t="shared" si="328"/>
        <v>0</v>
      </c>
      <c r="AC843" s="31">
        <f t="shared" si="328"/>
        <v>46977.72</v>
      </c>
      <c r="AD843" s="31">
        <f t="shared" si="328"/>
        <v>150000</v>
      </c>
      <c r="AE843" s="31">
        <f t="shared" si="328"/>
        <v>0</v>
      </c>
      <c r="AF843" s="72" t="s">
        <v>794</v>
      </c>
      <c r="AG843" s="72" t="s">
        <v>794</v>
      </c>
      <c r="AH843" s="91" t="s">
        <v>794</v>
      </c>
      <c r="AT843" s="20" t="e">
        <f t="shared" si="313"/>
        <v>#N/A</v>
      </c>
    </row>
    <row r="844" spans="1:46" ht="61.5" x14ac:dyDescent="0.85">
      <c r="A844" s="20">
        <v>1</v>
      </c>
      <c r="B844" s="66">
        <f>SUBTOTAL(103,$A$567:A844)</f>
        <v>255</v>
      </c>
      <c r="C844" s="24" t="s">
        <v>180</v>
      </c>
      <c r="D844" s="31">
        <f t="shared" ref="D844" si="329">E844+F844+G844+H844+I844+J844+L844+N844+P844+R844+T844+U844+V844+W844+X844+Y844+Z844+AA844+AB844+AC844+AD844+AE844</f>
        <v>3328825.5</v>
      </c>
      <c r="E844" s="31">
        <v>0</v>
      </c>
      <c r="F844" s="31">
        <v>0</v>
      </c>
      <c r="G844" s="31">
        <v>0</v>
      </c>
      <c r="H844" s="31">
        <v>0</v>
      </c>
      <c r="I844" s="31">
        <v>0</v>
      </c>
      <c r="J844" s="31">
        <v>0</v>
      </c>
      <c r="K844" s="33">
        <v>0</v>
      </c>
      <c r="L844" s="31">
        <v>0</v>
      </c>
      <c r="M844" s="31">
        <v>650</v>
      </c>
      <c r="N844" s="31">
        <v>3131847.78</v>
      </c>
      <c r="O844" s="31">
        <v>0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  <c r="V844" s="31">
        <v>0</v>
      </c>
      <c r="W844" s="31">
        <v>0</v>
      </c>
      <c r="X844" s="31">
        <v>0</v>
      </c>
      <c r="Y844" s="31">
        <v>0</v>
      </c>
      <c r="Z844" s="31">
        <v>0</v>
      </c>
      <c r="AA844" s="31">
        <v>0</v>
      </c>
      <c r="AB844" s="31">
        <v>0</v>
      </c>
      <c r="AC844" s="31">
        <f>ROUND(N844*1.5%,2)</f>
        <v>46977.72</v>
      </c>
      <c r="AD844" s="31">
        <v>150000</v>
      </c>
      <c r="AE844" s="31">
        <v>0</v>
      </c>
      <c r="AF844" s="34">
        <v>2021</v>
      </c>
      <c r="AG844" s="34">
        <v>2021</v>
      </c>
      <c r="AH844" s="35">
        <v>2021</v>
      </c>
      <c r="AT844" s="20" t="e">
        <f t="shared" si="313"/>
        <v>#N/A</v>
      </c>
    </row>
    <row r="845" spans="1:46" ht="61.5" x14ac:dyDescent="0.85">
      <c r="B845" s="24" t="s">
        <v>878</v>
      </c>
      <c r="C845" s="24"/>
      <c r="D845" s="31">
        <f t="shared" ref="D845:AE845" si="330">D846+D847</f>
        <v>5279138.41</v>
      </c>
      <c r="E845" s="31">
        <f t="shared" si="330"/>
        <v>0</v>
      </c>
      <c r="F845" s="31">
        <f t="shared" si="330"/>
        <v>0</v>
      </c>
      <c r="G845" s="31">
        <f t="shared" si="330"/>
        <v>0</v>
      </c>
      <c r="H845" s="31">
        <f t="shared" si="330"/>
        <v>0</v>
      </c>
      <c r="I845" s="31">
        <f t="shared" si="330"/>
        <v>0</v>
      </c>
      <c r="J845" s="31">
        <f t="shared" si="330"/>
        <v>0</v>
      </c>
      <c r="K845" s="33">
        <f t="shared" si="330"/>
        <v>0</v>
      </c>
      <c r="L845" s="31">
        <f t="shared" si="330"/>
        <v>0</v>
      </c>
      <c r="M845" s="31">
        <f t="shared" si="330"/>
        <v>0</v>
      </c>
      <c r="N845" s="31">
        <f t="shared" si="330"/>
        <v>0</v>
      </c>
      <c r="O845" s="31">
        <f t="shared" si="330"/>
        <v>0</v>
      </c>
      <c r="P845" s="31">
        <f t="shared" si="330"/>
        <v>0</v>
      </c>
      <c r="Q845" s="31">
        <f t="shared" si="330"/>
        <v>884.5</v>
      </c>
      <c r="R845" s="31">
        <f t="shared" si="330"/>
        <v>4944963.95</v>
      </c>
      <c r="S845" s="31">
        <f t="shared" si="330"/>
        <v>0</v>
      </c>
      <c r="T845" s="31">
        <f t="shared" si="330"/>
        <v>0</v>
      </c>
      <c r="U845" s="31">
        <f t="shared" si="330"/>
        <v>0</v>
      </c>
      <c r="V845" s="31">
        <f t="shared" si="330"/>
        <v>0</v>
      </c>
      <c r="W845" s="31">
        <f t="shared" si="330"/>
        <v>0</v>
      </c>
      <c r="X845" s="31">
        <f t="shared" si="330"/>
        <v>0</v>
      </c>
      <c r="Y845" s="31">
        <f t="shared" si="330"/>
        <v>0</v>
      </c>
      <c r="Z845" s="31">
        <f t="shared" si="330"/>
        <v>0</v>
      </c>
      <c r="AA845" s="31">
        <f t="shared" si="330"/>
        <v>0</v>
      </c>
      <c r="AB845" s="31">
        <f t="shared" si="330"/>
        <v>0</v>
      </c>
      <c r="AC845" s="31">
        <f t="shared" si="330"/>
        <v>74174.459999999992</v>
      </c>
      <c r="AD845" s="31">
        <f t="shared" si="330"/>
        <v>260000</v>
      </c>
      <c r="AE845" s="31">
        <f t="shared" si="330"/>
        <v>0</v>
      </c>
      <c r="AF845" s="72" t="s">
        <v>794</v>
      </c>
      <c r="AG845" s="72" t="s">
        <v>794</v>
      </c>
      <c r="AH845" s="91" t="s">
        <v>794</v>
      </c>
      <c r="AT845" s="20" t="e">
        <f t="shared" si="313"/>
        <v>#N/A</v>
      </c>
    </row>
    <row r="846" spans="1:46" ht="61.5" x14ac:dyDescent="0.85">
      <c r="A846" s="20">
        <v>1</v>
      </c>
      <c r="B846" s="66">
        <f>SUBTOTAL(103,$A$567:A846)</f>
        <v>256</v>
      </c>
      <c r="C846" s="24" t="s">
        <v>178</v>
      </c>
      <c r="D846" s="31">
        <f t="shared" ref="D846:D847" si="331">E846+F846+G846+H846+I846+J846+L846+N846+P846+R846+T846+U846+V846+W846+X846+Y846+Z846+AA846+AB846+AC846+AD846+AE846</f>
        <v>2721526.66</v>
      </c>
      <c r="E846" s="31">
        <v>0</v>
      </c>
      <c r="F846" s="31">
        <v>0</v>
      </c>
      <c r="G846" s="31">
        <v>0</v>
      </c>
      <c r="H846" s="31">
        <v>0</v>
      </c>
      <c r="I846" s="31">
        <v>0</v>
      </c>
      <c r="J846" s="31">
        <v>0</v>
      </c>
      <c r="K846" s="33">
        <v>0</v>
      </c>
      <c r="L846" s="31">
        <v>0</v>
      </c>
      <c r="M846" s="31">
        <v>0</v>
      </c>
      <c r="N846" s="31">
        <v>0</v>
      </c>
      <c r="O846" s="31">
        <v>0</v>
      </c>
      <c r="P846" s="31">
        <v>0</v>
      </c>
      <c r="Q846" s="31">
        <v>459</v>
      </c>
      <c r="R846" s="31">
        <v>2553228.2400000002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1">
        <v>0</v>
      </c>
      <c r="Y846" s="31">
        <v>0</v>
      </c>
      <c r="Z846" s="31">
        <v>0</v>
      </c>
      <c r="AA846" s="31">
        <v>0</v>
      </c>
      <c r="AB846" s="31">
        <v>0</v>
      </c>
      <c r="AC846" s="31">
        <f t="shared" ref="AC846:AC847" si="332">ROUND(R846*1.5%,2)</f>
        <v>38298.42</v>
      </c>
      <c r="AD846" s="31">
        <v>130000</v>
      </c>
      <c r="AE846" s="31">
        <v>0</v>
      </c>
      <c r="AF846" s="34">
        <v>2021</v>
      </c>
      <c r="AG846" s="34">
        <v>2021</v>
      </c>
      <c r="AH846" s="35">
        <v>2021</v>
      </c>
      <c r="AT846" s="20" t="e">
        <f t="shared" si="313"/>
        <v>#N/A</v>
      </c>
    </row>
    <row r="847" spans="1:46" ht="61.5" x14ac:dyDescent="0.85">
      <c r="A847" s="20">
        <v>1</v>
      </c>
      <c r="B847" s="66">
        <f>SUBTOTAL(103,$A$567:A847)</f>
        <v>257</v>
      </c>
      <c r="C847" s="24" t="s">
        <v>179</v>
      </c>
      <c r="D847" s="31">
        <f t="shared" si="331"/>
        <v>2557611.75</v>
      </c>
      <c r="E847" s="31">
        <v>0</v>
      </c>
      <c r="F847" s="31">
        <v>0</v>
      </c>
      <c r="G847" s="31">
        <v>0</v>
      </c>
      <c r="H847" s="31">
        <v>0</v>
      </c>
      <c r="I847" s="31">
        <v>0</v>
      </c>
      <c r="J847" s="31">
        <v>0</v>
      </c>
      <c r="K847" s="33">
        <v>0</v>
      </c>
      <c r="L847" s="31">
        <v>0</v>
      </c>
      <c r="M847" s="31">
        <v>0</v>
      </c>
      <c r="N847" s="31">
        <v>0</v>
      </c>
      <c r="O847" s="31">
        <v>0</v>
      </c>
      <c r="P847" s="31">
        <v>0</v>
      </c>
      <c r="Q847" s="31">
        <v>425.5</v>
      </c>
      <c r="R847" s="31">
        <v>2391735.71</v>
      </c>
      <c r="S847" s="31">
        <v>0</v>
      </c>
      <c r="T847" s="31">
        <v>0</v>
      </c>
      <c r="U847" s="31">
        <v>0</v>
      </c>
      <c r="V847" s="31">
        <v>0</v>
      </c>
      <c r="W847" s="31">
        <v>0</v>
      </c>
      <c r="X847" s="31">
        <v>0</v>
      </c>
      <c r="Y847" s="31">
        <v>0</v>
      </c>
      <c r="Z847" s="31">
        <v>0</v>
      </c>
      <c r="AA847" s="31">
        <v>0</v>
      </c>
      <c r="AB847" s="31">
        <v>0</v>
      </c>
      <c r="AC847" s="31">
        <f t="shared" si="332"/>
        <v>35876.04</v>
      </c>
      <c r="AD847" s="31">
        <v>130000</v>
      </c>
      <c r="AE847" s="31">
        <v>0</v>
      </c>
      <c r="AF847" s="34">
        <v>2021</v>
      </c>
      <c r="AG847" s="34">
        <v>2021</v>
      </c>
      <c r="AH847" s="35">
        <v>2021</v>
      </c>
      <c r="AT847" s="20" t="e">
        <f t="shared" si="313"/>
        <v>#N/A</v>
      </c>
    </row>
    <row r="848" spans="1:46" ht="61.5" x14ac:dyDescent="0.85">
      <c r="B848" s="24" t="s">
        <v>914</v>
      </c>
      <c r="C848" s="24"/>
      <c r="D848" s="31">
        <f t="shared" ref="D848:AE848" si="333">D849</f>
        <v>4178956.32</v>
      </c>
      <c r="E848" s="31">
        <f t="shared" si="333"/>
        <v>0</v>
      </c>
      <c r="F848" s="31">
        <f t="shared" si="333"/>
        <v>0</v>
      </c>
      <c r="G848" s="31">
        <f t="shared" si="333"/>
        <v>0</v>
      </c>
      <c r="H848" s="31">
        <f t="shared" si="333"/>
        <v>0</v>
      </c>
      <c r="I848" s="31">
        <f t="shared" si="333"/>
        <v>0</v>
      </c>
      <c r="J848" s="31">
        <f t="shared" si="333"/>
        <v>0</v>
      </c>
      <c r="K848" s="33">
        <f t="shared" si="333"/>
        <v>0</v>
      </c>
      <c r="L848" s="31">
        <f t="shared" si="333"/>
        <v>0</v>
      </c>
      <c r="M848" s="31">
        <f t="shared" si="333"/>
        <v>816</v>
      </c>
      <c r="N848" s="31">
        <f t="shared" si="333"/>
        <v>3969415.09</v>
      </c>
      <c r="O848" s="31">
        <f t="shared" si="333"/>
        <v>0</v>
      </c>
      <c r="P848" s="31">
        <f t="shared" si="333"/>
        <v>0</v>
      </c>
      <c r="Q848" s="31">
        <f t="shared" si="333"/>
        <v>0</v>
      </c>
      <c r="R848" s="31">
        <f t="shared" si="333"/>
        <v>0</v>
      </c>
      <c r="S848" s="31">
        <f t="shared" si="333"/>
        <v>0</v>
      </c>
      <c r="T848" s="31">
        <f t="shared" si="333"/>
        <v>0</v>
      </c>
      <c r="U848" s="31">
        <f t="shared" si="333"/>
        <v>0</v>
      </c>
      <c r="V848" s="31">
        <f t="shared" si="333"/>
        <v>0</v>
      </c>
      <c r="W848" s="31">
        <f t="shared" si="333"/>
        <v>0</v>
      </c>
      <c r="X848" s="31">
        <f t="shared" si="333"/>
        <v>0</v>
      </c>
      <c r="Y848" s="31">
        <f t="shared" si="333"/>
        <v>0</v>
      </c>
      <c r="Z848" s="31">
        <f t="shared" si="333"/>
        <v>0</v>
      </c>
      <c r="AA848" s="31">
        <f t="shared" si="333"/>
        <v>0</v>
      </c>
      <c r="AB848" s="31">
        <f t="shared" si="333"/>
        <v>0</v>
      </c>
      <c r="AC848" s="31">
        <f t="shared" si="333"/>
        <v>59541.23</v>
      </c>
      <c r="AD848" s="31">
        <f t="shared" si="333"/>
        <v>150000</v>
      </c>
      <c r="AE848" s="31">
        <f t="shared" si="333"/>
        <v>0</v>
      </c>
      <c r="AF848" s="72" t="s">
        <v>794</v>
      </c>
      <c r="AG848" s="72" t="s">
        <v>794</v>
      </c>
      <c r="AH848" s="91" t="s">
        <v>794</v>
      </c>
      <c r="AT848" s="20" t="e">
        <f t="shared" si="313"/>
        <v>#N/A</v>
      </c>
    </row>
    <row r="849" spans="1:46" ht="61.5" x14ac:dyDescent="0.85">
      <c r="A849" s="20">
        <v>1</v>
      </c>
      <c r="B849" s="66">
        <f>SUBTOTAL(103,$A$567:A849)</f>
        <v>258</v>
      </c>
      <c r="C849" s="24" t="s">
        <v>177</v>
      </c>
      <c r="D849" s="31">
        <f t="shared" ref="D849" si="334">E849+F849+G849+H849+I849+J849+L849+N849+P849+R849+T849+U849+V849+W849+X849+Y849+Z849+AA849+AB849+AC849+AD849+AE849</f>
        <v>4178956.32</v>
      </c>
      <c r="E849" s="31">
        <v>0</v>
      </c>
      <c r="F849" s="31">
        <v>0</v>
      </c>
      <c r="G849" s="31">
        <v>0</v>
      </c>
      <c r="H849" s="31">
        <v>0</v>
      </c>
      <c r="I849" s="31">
        <v>0</v>
      </c>
      <c r="J849" s="31">
        <v>0</v>
      </c>
      <c r="K849" s="33">
        <v>0</v>
      </c>
      <c r="L849" s="31">
        <v>0</v>
      </c>
      <c r="M849" s="31">
        <v>816</v>
      </c>
      <c r="N849" s="31">
        <v>3969415.09</v>
      </c>
      <c r="O849" s="31">
        <v>0</v>
      </c>
      <c r="P849" s="31">
        <v>0</v>
      </c>
      <c r="Q849" s="31">
        <v>0</v>
      </c>
      <c r="R849" s="31">
        <v>0</v>
      </c>
      <c r="S849" s="31">
        <v>0</v>
      </c>
      <c r="T849" s="31">
        <v>0</v>
      </c>
      <c r="U849" s="31">
        <v>0</v>
      </c>
      <c r="V849" s="31">
        <v>0</v>
      </c>
      <c r="W849" s="31">
        <v>0</v>
      </c>
      <c r="X849" s="31">
        <v>0</v>
      </c>
      <c r="Y849" s="31">
        <v>0</v>
      </c>
      <c r="Z849" s="31">
        <v>0</v>
      </c>
      <c r="AA849" s="31">
        <v>0</v>
      </c>
      <c r="AB849" s="31">
        <v>0</v>
      </c>
      <c r="AC849" s="31">
        <f>ROUND(N849*1.5%,2)</f>
        <v>59541.23</v>
      </c>
      <c r="AD849" s="31">
        <v>150000</v>
      </c>
      <c r="AE849" s="31">
        <v>0</v>
      </c>
      <c r="AF849" s="34">
        <v>2021</v>
      </c>
      <c r="AG849" s="34">
        <v>2021</v>
      </c>
      <c r="AH849" s="35">
        <v>2021</v>
      </c>
      <c r="AT849" s="20" t="e">
        <f t="shared" si="313"/>
        <v>#N/A</v>
      </c>
    </row>
    <row r="850" spans="1:46" ht="61.5" x14ac:dyDescent="0.85">
      <c r="B850" s="24" t="s">
        <v>880</v>
      </c>
      <c r="C850" s="24"/>
      <c r="D850" s="31">
        <f t="shared" ref="D850:AE850" si="335">D851</f>
        <v>1889236.5</v>
      </c>
      <c r="E850" s="31">
        <f t="shared" si="335"/>
        <v>0</v>
      </c>
      <c r="F850" s="31">
        <f t="shared" si="335"/>
        <v>0</v>
      </c>
      <c r="G850" s="31">
        <f t="shared" si="335"/>
        <v>0</v>
      </c>
      <c r="H850" s="31">
        <f t="shared" si="335"/>
        <v>0</v>
      </c>
      <c r="I850" s="31">
        <f t="shared" si="335"/>
        <v>0</v>
      </c>
      <c r="J850" s="31">
        <f t="shared" si="335"/>
        <v>0</v>
      </c>
      <c r="K850" s="33">
        <f t="shared" si="335"/>
        <v>0</v>
      </c>
      <c r="L850" s="31">
        <f t="shared" si="335"/>
        <v>0</v>
      </c>
      <c r="M850" s="31">
        <f t="shared" si="335"/>
        <v>368.9</v>
      </c>
      <c r="N850" s="31">
        <f t="shared" si="335"/>
        <v>1743090.15</v>
      </c>
      <c r="O850" s="31">
        <f t="shared" si="335"/>
        <v>0</v>
      </c>
      <c r="P850" s="31">
        <f t="shared" si="335"/>
        <v>0</v>
      </c>
      <c r="Q850" s="31">
        <f t="shared" si="335"/>
        <v>0</v>
      </c>
      <c r="R850" s="31">
        <f t="shared" si="335"/>
        <v>0</v>
      </c>
      <c r="S850" s="31">
        <f t="shared" si="335"/>
        <v>0</v>
      </c>
      <c r="T850" s="31">
        <f t="shared" si="335"/>
        <v>0</v>
      </c>
      <c r="U850" s="31">
        <f t="shared" si="335"/>
        <v>0</v>
      </c>
      <c r="V850" s="31">
        <f t="shared" si="335"/>
        <v>0</v>
      </c>
      <c r="W850" s="31">
        <f t="shared" si="335"/>
        <v>0</v>
      </c>
      <c r="X850" s="31">
        <f t="shared" si="335"/>
        <v>0</v>
      </c>
      <c r="Y850" s="31">
        <f t="shared" si="335"/>
        <v>0</v>
      </c>
      <c r="Z850" s="31">
        <f t="shared" si="335"/>
        <v>0</v>
      </c>
      <c r="AA850" s="31">
        <f t="shared" si="335"/>
        <v>0</v>
      </c>
      <c r="AB850" s="31">
        <f t="shared" si="335"/>
        <v>0</v>
      </c>
      <c r="AC850" s="31">
        <f t="shared" si="335"/>
        <v>26146.35</v>
      </c>
      <c r="AD850" s="31">
        <f t="shared" si="335"/>
        <v>120000</v>
      </c>
      <c r="AE850" s="31">
        <f t="shared" si="335"/>
        <v>0</v>
      </c>
      <c r="AF850" s="72" t="s">
        <v>794</v>
      </c>
      <c r="AG850" s="72" t="s">
        <v>794</v>
      </c>
      <c r="AH850" s="91" t="s">
        <v>794</v>
      </c>
      <c r="AT850" s="20" t="e">
        <f t="shared" si="313"/>
        <v>#N/A</v>
      </c>
    </row>
    <row r="851" spans="1:46" ht="61.5" x14ac:dyDescent="0.85">
      <c r="A851" s="20">
        <v>1</v>
      </c>
      <c r="B851" s="66">
        <f>SUBTOTAL(103,$A$567:A851)</f>
        <v>259</v>
      </c>
      <c r="C851" s="24" t="s">
        <v>176</v>
      </c>
      <c r="D851" s="31">
        <f t="shared" ref="D851" si="336">E851+F851+G851+H851+I851+J851+L851+N851+P851+R851+T851+U851+V851+W851+X851+Y851+Z851+AA851+AB851+AC851+AD851+AE851</f>
        <v>1889236.5</v>
      </c>
      <c r="E851" s="31">
        <v>0</v>
      </c>
      <c r="F851" s="31">
        <v>0</v>
      </c>
      <c r="G851" s="31">
        <v>0</v>
      </c>
      <c r="H851" s="31">
        <v>0</v>
      </c>
      <c r="I851" s="31">
        <v>0</v>
      </c>
      <c r="J851" s="31">
        <v>0</v>
      </c>
      <c r="K851" s="33">
        <v>0</v>
      </c>
      <c r="L851" s="31">
        <v>0</v>
      </c>
      <c r="M851" s="31">
        <v>368.9</v>
      </c>
      <c r="N851" s="31">
        <v>1743090.15</v>
      </c>
      <c r="O851" s="31">
        <v>0</v>
      </c>
      <c r="P851" s="31">
        <v>0</v>
      </c>
      <c r="Q851" s="31">
        <v>0</v>
      </c>
      <c r="R851" s="31">
        <v>0</v>
      </c>
      <c r="S851" s="31">
        <v>0</v>
      </c>
      <c r="T851" s="31">
        <v>0</v>
      </c>
      <c r="U851" s="31">
        <v>0</v>
      </c>
      <c r="V851" s="31">
        <v>0</v>
      </c>
      <c r="W851" s="31">
        <v>0</v>
      </c>
      <c r="X851" s="31">
        <v>0</v>
      </c>
      <c r="Y851" s="31">
        <v>0</v>
      </c>
      <c r="Z851" s="31">
        <v>0</v>
      </c>
      <c r="AA851" s="31">
        <v>0</v>
      </c>
      <c r="AB851" s="31">
        <v>0</v>
      </c>
      <c r="AC851" s="31">
        <f>ROUND(N851*1.5%,2)</f>
        <v>26146.35</v>
      </c>
      <c r="AD851" s="31">
        <v>120000</v>
      </c>
      <c r="AE851" s="31">
        <v>0</v>
      </c>
      <c r="AF851" s="34">
        <v>2021</v>
      </c>
      <c r="AG851" s="34">
        <v>2021</v>
      </c>
      <c r="AH851" s="35">
        <v>2021</v>
      </c>
      <c r="AT851" s="20" t="e">
        <f t="shared" si="313"/>
        <v>#N/A</v>
      </c>
    </row>
    <row r="852" spans="1:46" ht="61.5" x14ac:dyDescent="0.85">
      <c r="B852" s="24" t="s">
        <v>881</v>
      </c>
      <c r="C852" s="117"/>
      <c r="D852" s="31">
        <f t="shared" ref="D852:AE852" si="337">SUM(D853:D856)</f>
        <v>10103503.050000001</v>
      </c>
      <c r="E852" s="31">
        <f t="shared" si="337"/>
        <v>0</v>
      </c>
      <c r="F852" s="31">
        <f t="shared" si="337"/>
        <v>0</v>
      </c>
      <c r="G852" s="31">
        <f t="shared" si="337"/>
        <v>0</v>
      </c>
      <c r="H852" s="31">
        <f t="shared" si="337"/>
        <v>0</v>
      </c>
      <c r="I852" s="31">
        <f t="shared" si="337"/>
        <v>0</v>
      </c>
      <c r="J852" s="31">
        <f t="shared" si="337"/>
        <v>0</v>
      </c>
      <c r="K852" s="33">
        <f t="shared" si="337"/>
        <v>0</v>
      </c>
      <c r="L852" s="31">
        <f t="shared" si="337"/>
        <v>0</v>
      </c>
      <c r="M852" s="31">
        <f t="shared" si="337"/>
        <v>1755</v>
      </c>
      <c r="N852" s="31">
        <f t="shared" si="337"/>
        <v>9451727.1400000006</v>
      </c>
      <c r="O852" s="31">
        <f t="shared" si="337"/>
        <v>0</v>
      </c>
      <c r="P852" s="31">
        <f t="shared" si="337"/>
        <v>0</v>
      </c>
      <c r="Q852" s="31">
        <f t="shared" si="337"/>
        <v>0</v>
      </c>
      <c r="R852" s="31">
        <f t="shared" si="337"/>
        <v>0</v>
      </c>
      <c r="S852" s="31">
        <f t="shared" si="337"/>
        <v>0</v>
      </c>
      <c r="T852" s="31">
        <f t="shared" si="337"/>
        <v>0</v>
      </c>
      <c r="U852" s="31">
        <f t="shared" si="337"/>
        <v>0</v>
      </c>
      <c r="V852" s="31">
        <f t="shared" si="337"/>
        <v>0</v>
      </c>
      <c r="W852" s="31">
        <f t="shared" si="337"/>
        <v>0</v>
      </c>
      <c r="X852" s="31">
        <f t="shared" si="337"/>
        <v>0</v>
      </c>
      <c r="Y852" s="31">
        <f t="shared" si="337"/>
        <v>0</v>
      </c>
      <c r="Z852" s="31">
        <f t="shared" si="337"/>
        <v>0</v>
      </c>
      <c r="AA852" s="31">
        <f t="shared" si="337"/>
        <v>0</v>
      </c>
      <c r="AB852" s="31">
        <f t="shared" si="337"/>
        <v>0</v>
      </c>
      <c r="AC852" s="31">
        <f t="shared" si="337"/>
        <v>141775.90999999997</v>
      </c>
      <c r="AD852" s="31">
        <f t="shared" si="337"/>
        <v>510000</v>
      </c>
      <c r="AE852" s="31">
        <f t="shared" si="337"/>
        <v>0</v>
      </c>
      <c r="AF852" s="72" t="s">
        <v>794</v>
      </c>
      <c r="AG852" s="72" t="s">
        <v>794</v>
      </c>
      <c r="AH852" s="91" t="s">
        <v>794</v>
      </c>
      <c r="AT852" s="20" t="e">
        <f t="shared" si="313"/>
        <v>#N/A</v>
      </c>
    </row>
    <row r="853" spans="1:46" ht="61.5" x14ac:dyDescent="0.85">
      <c r="A853" s="20">
        <v>1</v>
      </c>
      <c r="B853" s="66">
        <f>SUBTOTAL(103,$A$567:A853)</f>
        <v>260</v>
      </c>
      <c r="C853" s="24" t="s">
        <v>79</v>
      </c>
      <c r="D853" s="31">
        <f t="shared" ref="D853:D856" si="338">E853+F853+G853+H853+I853+J853+L853+N853+P853+R853+T853+U853+V853+W853+X853+Y853+Z853+AA853+AB853+AC853+AD853+AE853</f>
        <v>3083184.6</v>
      </c>
      <c r="E853" s="31">
        <v>0</v>
      </c>
      <c r="F853" s="31">
        <v>0</v>
      </c>
      <c r="G853" s="31">
        <v>0</v>
      </c>
      <c r="H853" s="31">
        <v>0</v>
      </c>
      <c r="I853" s="31">
        <v>0</v>
      </c>
      <c r="J853" s="31">
        <v>0</v>
      </c>
      <c r="K853" s="33">
        <v>0</v>
      </c>
      <c r="L853" s="31">
        <v>0</v>
      </c>
      <c r="M853" s="31">
        <v>510</v>
      </c>
      <c r="N853" s="31">
        <v>2889837.04</v>
      </c>
      <c r="O853" s="31">
        <v>0</v>
      </c>
      <c r="P853" s="31">
        <v>0</v>
      </c>
      <c r="Q853" s="31">
        <v>0</v>
      </c>
      <c r="R853" s="31">
        <v>0</v>
      </c>
      <c r="S853" s="31">
        <v>0</v>
      </c>
      <c r="T853" s="31">
        <v>0</v>
      </c>
      <c r="U853" s="31">
        <v>0</v>
      </c>
      <c r="V853" s="31">
        <v>0</v>
      </c>
      <c r="W853" s="31">
        <v>0</v>
      </c>
      <c r="X853" s="31">
        <v>0</v>
      </c>
      <c r="Y853" s="31">
        <v>0</v>
      </c>
      <c r="Z853" s="31">
        <v>0</v>
      </c>
      <c r="AA853" s="31">
        <v>0</v>
      </c>
      <c r="AB853" s="31">
        <v>0</v>
      </c>
      <c r="AC853" s="31">
        <f t="shared" ref="AC853:AC856" si="339">ROUND(N853*1.5%,2)</f>
        <v>43347.56</v>
      </c>
      <c r="AD853" s="31">
        <v>150000</v>
      </c>
      <c r="AE853" s="31">
        <v>0</v>
      </c>
      <c r="AF853" s="34">
        <v>2021</v>
      </c>
      <c r="AG853" s="34">
        <v>2021</v>
      </c>
      <c r="AH853" s="35">
        <v>2021</v>
      </c>
      <c r="AT853" s="20" t="e">
        <f t="shared" si="313"/>
        <v>#N/A</v>
      </c>
    </row>
    <row r="854" spans="1:46" ht="61.5" x14ac:dyDescent="0.85">
      <c r="A854" s="20">
        <v>1</v>
      </c>
      <c r="B854" s="66">
        <f>SUBTOTAL(103,$A$567:A854)</f>
        <v>261</v>
      </c>
      <c r="C854" s="24" t="s">
        <v>80</v>
      </c>
      <c r="D854" s="31">
        <f t="shared" si="338"/>
        <v>2424688.3000000003</v>
      </c>
      <c r="E854" s="31">
        <v>0</v>
      </c>
      <c r="F854" s="31">
        <v>0</v>
      </c>
      <c r="G854" s="31">
        <v>0</v>
      </c>
      <c r="H854" s="31">
        <v>0</v>
      </c>
      <c r="I854" s="31">
        <v>0</v>
      </c>
      <c r="J854" s="31">
        <v>0</v>
      </c>
      <c r="K854" s="33">
        <v>0</v>
      </c>
      <c r="L854" s="31">
        <v>0</v>
      </c>
      <c r="M854" s="31">
        <v>430</v>
      </c>
      <c r="N854" s="31">
        <v>2270628.87</v>
      </c>
      <c r="O854" s="31">
        <v>0</v>
      </c>
      <c r="P854" s="31">
        <v>0</v>
      </c>
      <c r="Q854" s="31">
        <v>0</v>
      </c>
      <c r="R854" s="31">
        <v>0</v>
      </c>
      <c r="S854" s="31">
        <v>0</v>
      </c>
      <c r="T854" s="31">
        <v>0</v>
      </c>
      <c r="U854" s="31">
        <v>0</v>
      </c>
      <c r="V854" s="31">
        <v>0</v>
      </c>
      <c r="W854" s="31">
        <v>0</v>
      </c>
      <c r="X854" s="31">
        <v>0</v>
      </c>
      <c r="Y854" s="31">
        <v>0</v>
      </c>
      <c r="Z854" s="31">
        <v>0</v>
      </c>
      <c r="AA854" s="31">
        <v>0</v>
      </c>
      <c r="AB854" s="31">
        <v>0</v>
      </c>
      <c r="AC854" s="31">
        <f t="shared" si="339"/>
        <v>34059.43</v>
      </c>
      <c r="AD854" s="31">
        <v>120000</v>
      </c>
      <c r="AE854" s="31">
        <v>0</v>
      </c>
      <c r="AF854" s="34">
        <v>2021</v>
      </c>
      <c r="AG854" s="34">
        <v>2021</v>
      </c>
      <c r="AH854" s="35">
        <v>2021</v>
      </c>
      <c r="AT854" s="20" t="e">
        <f t="shared" ref="AT854:AT876" si="340">VLOOKUP(C854,AW:AX,2,FALSE)</f>
        <v>#N/A</v>
      </c>
    </row>
    <row r="855" spans="1:46" ht="61.5" x14ac:dyDescent="0.85">
      <c r="A855" s="20">
        <v>1</v>
      </c>
      <c r="B855" s="66">
        <f>SUBTOTAL(103,$A$567:A855)</f>
        <v>262</v>
      </c>
      <c r="C855" s="24" t="s">
        <v>81</v>
      </c>
      <c r="D855" s="31">
        <f t="shared" si="338"/>
        <v>2424688.3000000003</v>
      </c>
      <c r="E855" s="31">
        <v>0</v>
      </c>
      <c r="F855" s="31">
        <v>0</v>
      </c>
      <c r="G855" s="31">
        <v>0</v>
      </c>
      <c r="H855" s="31">
        <v>0</v>
      </c>
      <c r="I855" s="31">
        <v>0</v>
      </c>
      <c r="J855" s="31">
        <v>0</v>
      </c>
      <c r="K855" s="33">
        <v>0</v>
      </c>
      <c r="L855" s="31">
        <v>0</v>
      </c>
      <c r="M855" s="31">
        <v>430</v>
      </c>
      <c r="N855" s="31">
        <v>2270628.87</v>
      </c>
      <c r="O855" s="31">
        <v>0</v>
      </c>
      <c r="P855" s="31">
        <v>0</v>
      </c>
      <c r="Q855" s="31">
        <v>0</v>
      </c>
      <c r="R855" s="31">
        <v>0</v>
      </c>
      <c r="S855" s="31">
        <v>0</v>
      </c>
      <c r="T855" s="31">
        <v>0</v>
      </c>
      <c r="U855" s="31">
        <v>0</v>
      </c>
      <c r="V855" s="31">
        <v>0</v>
      </c>
      <c r="W855" s="31">
        <v>0</v>
      </c>
      <c r="X855" s="31">
        <v>0</v>
      </c>
      <c r="Y855" s="31">
        <v>0</v>
      </c>
      <c r="Z855" s="31">
        <v>0</v>
      </c>
      <c r="AA855" s="31">
        <v>0</v>
      </c>
      <c r="AB855" s="31">
        <v>0</v>
      </c>
      <c r="AC855" s="31">
        <f t="shared" si="339"/>
        <v>34059.43</v>
      </c>
      <c r="AD855" s="31">
        <v>120000</v>
      </c>
      <c r="AE855" s="31">
        <v>0</v>
      </c>
      <c r="AF855" s="34">
        <v>2021</v>
      </c>
      <c r="AG855" s="34">
        <v>2021</v>
      </c>
      <c r="AH855" s="35">
        <v>2021</v>
      </c>
      <c r="AT855" s="20" t="e">
        <f t="shared" si="340"/>
        <v>#N/A</v>
      </c>
    </row>
    <row r="856" spans="1:46" ht="61.5" x14ac:dyDescent="0.85">
      <c r="A856" s="20">
        <v>1</v>
      </c>
      <c r="B856" s="66">
        <f>SUBTOTAL(103,$A$567:A856)</f>
        <v>263</v>
      </c>
      <c r="C856" s="24" t="s">
        <v>78</v>
      </c>
      <c r="D856" s="31">
        <f t="shared" si="338"/>
        <v>2170941.85</v>
      </c>
      <c r="E856" s="31">
        <v>0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3">
        <v>0</v>
      </c>
      <c r="L856" s="31">
        <v>0</v>
      </c>
      <c r="M856" s="31">
        <v>385</v>
      </c>
      <c r="N856" s="31">
        <v>2020632.36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  <c r="V856" s="31">
        <v>0</v>
      </c>
      <c r="W856" s="31">
        <v>0</v>
      </c>
      <c r="X856" s="31">
        <v>0</v>
      </c>
      <c r="Y856" s="31">
        <v>0</v>
      </c>
      <c r="Z856" s="31">
        <v>0</v>
      </c>
      <c r="AA856" s="31">
        <v>0</v>
      </c>
      <c r="AB856" s="31">
        <v>0</v>
      </c>
      <c r="AC856" s="31">
        <f t="shared" si="339"/>
        <v>30309.49</v>
      </c>
      <c r="AD856" s="31">
        <v>120000</v>
      </c>
      <c r="AE856" s="31">
        <v>0</v>
      </c>
      <c r="AF856" s="34">
        <v>2021</v>
      </c>
      <c r="AG856" s="34">
        <v>2021</v>
      </c>
      <c r="AH856" s="35">
        <v>2021</v>
      </c>
      <c r="AT856" s="20" t="e">
        <f t="shared" si="340"/>
        <v>#N/A</v>
      </c>
    </row>
    <row r="857" spans="1:46" ht="61.5" x14ac:dyDescent="0.85">
      <c r="B857" s="24" t="s">
        <v>915</v>
      </c>
      <c r="C857" s="24"/>
      <c r="D857" s="31">
        <f t="shared" ref="D857:AE857" si="341">D858+D859</f>
        <v>2766932.97</v>
      </c>
      <c r="E857" s="31">
        <f t="shared" si="341"/>
        <v>0</v>
      </c>
      <c r="F857" s="31">
        <f t="shared" si="341"/>
        <v>0</v>
      </c>
      <c r="G857" s="31">
        <f t="shared" si="341"/>
        <v>0</v>
      </c>
      <c r="H857" s="31">
        <f t="shared" si="341"/>
        <v>0</v>
      </c>
      <c r="I857" s="31">
        <f t="shared" si="341"/>
        <v>0</v>
      </c>
      <c r="J857" s="31">
        <f t="shared" si="341"/>
        <v>0</v>
      </c>
      <c r="K857" s="33">
        <f t="shared" si="341"/>
        <v>0</v>
      </c>
      <c r="L857" s="31">
        <f t="shared" si="341"/>
        <v>0</v>
      </c>
      <c r="M857" s="31">
        <f t="shared" si="341"/>
        <v>467</v>
      </c>
      <c r="N857" s="31">
        <f t="shared" si="341"/>
        <v>2489589.13</v>
      </c>
      <c r="O857" s="31">
        <f t="shared" si="341"/>
        <v>0</v>
      </c>
      <c r="P857" s="31">
        <f t="shared" si="341"/>
        <v>0</v>
      </c>
      <c r="Q857" s="31">
        <f t="shared" si="341"/>
        <v>0</v>
      </c>
      <c r="R857" s="31">
        <f t="shared" si="341"/>
        <v>0</v>
      </c>
      <c r="S857" s="31">
        <f t="shared" si="341"/>
        <v>0</v>
      </c>
      <c r="T857" s="31">
        <f t="shared" si="341"/>
        <v>0</v>
      </c>
      <c r="U857" s="31">
        <f t="shared" si="341"/>
        <v>0</v>
      </c>
      <c r="V857" s="31">
        <f t="shared" si="341"/>
        <v>0</v>
      </c>
      <c r="W857" s="31">
        <f t="shared" si="341"/>
        <v>0</v>
      </c>
      <c r="X857" s="31">
        <f t="shared" si="341"/>
        <v>0</v>
      </c>
      <c r="Y857" s="31">
        <f t="shared" si="341"/>
        <v>0</v>
      </c>
      <c r="Z857" s="31">
        <f t="shared" si="341"/>
        <v>0</v>
      </c>
      <c r="AA857" s="31">
        <f t="shared" si="341"/>
        <v>0</v>
      </c>
      <c r="AB857" s="31">
        <f t="shared" si="341"/>
        <v>0</v>
      </c>
      <c r="AC857" s="31">
        <f t="shared" si="341"/>
        <v>37343.839999999997</v>
      </c>
      <c r="AD857" s="31">
        <f t="shared" si="341"/>
        <v>240000</v>
      </c>
      <c r="AE857" s="31">
        <f t="shared" si="341"/>
        <v>0</v>
      </c>
      <c r="AF857" s="72" t="s">
        <v>794</v>
      </c>
      <c r="AG857" s="72" t="s">
        <v>794</v>
      </c>
      <c r="AH857" s="91" t="s">
        <v>794</v>
      </c>
      <c r="AT857" s="20" t="e">
        <f t="shared" si="340"/>
        <v>#N/A</v>
      </c>
    </row>
    <row r="858" spans="1:46" ht="61.5" x14ac:dyDescent="0.85">
      <c r="A858" s="20">
        <v>1</v>
      </c>
      <c r="B858" s="66">
        <f>SUBTOTAL(103,$A$567:A858)</f>
        <v>264</v>
      </c>
      <c r="C858" s="24" t="s">
        <v>82</v>
      </c>
      <c r="D858" s="31">
        <f t="shared" ref="D858:D859" si="342">E858+F858+G858+H858+I858+J858+L858+N858+P858+R858+T858+U858+V858+W858+X858+Y858+Z858+AA858+AB858+AC858+AD858+AE858</f>
        <v>1818947.37</v>
      </c>
      <c r="E858" s="31">
        <v>0</v>
      </c>
      <c r="F858" s="31">
        <v>0</v>
      </c>
      <c r="G858" s="31">
        <v>0</v>
      </c>
      <c r="H858" s="31">
        <v>0</v>
      </c>
      <c r="I858" s="31">
        <v>0</v>
      </c>
      <c r="J858" s="31">
        <v>0</v>
      </c>
      <c r="K858" s="33">
        <v>0</v>
      </c>
      <c r="L858" s="31">
        <v>0</v>
      </c>
      <c r="M858" s="31">
        <v>307</v>
      </c>
      <c r="N858" s="31">
        <v>1673839.77</v>
      </c>
      <c r="O858" s="31">
        <v>0</v>
      </c>
      <c r="P858" s="31">
        <v>0</v>
      </c>
      <c r="Q858" s="31">
        <v>0</v>
      </c>
      <c r="R858" s="31">
        <v>0</v>
      </c>
      <c r="S858" s="31">
        <v>0</v>
      </c>
      <c r="T858" s="31">
        <v>0</v>
      </c>
      <c r="U858" s="31">
        <v>0</v>
      </c>
      <c r="V858" s="31">
        <v>0</v>
      </c>
      <c r="W858" s="31">
        <v>0</v>
      </c>
      <c r="X858" s="31">
        <v>0</v>
      </c>
      <c r="Y858" s="31">
        <v>0</v>
      </c>
      <c r="Z858" s="31">
        <v>0</v>
      </c>
      <c r="AA858" s="31">
        <v>0</v>
      </c>
      <c r="AB858" s="31">
        <v>0</v>
      </c>
      <c r="AC858" s="31">
        <f t="shared" ref="AC858:AC859" si="343">ROUND(N858*1.5%,2)</f>
        <v>25107.599999999999</v>
      </c>
      <c r="AD858" s="31">
        <v>120000</v>
      </c>
      <c r="AE858" s="31">
        <v>0</v>
      </c>
      <c r="AF858" s="34">
        <v>2021</v>
      </c>
      <c r="AG858" s="34">
        <v>2021</v>
      </c>
      <c r="AH858" s="35">
        <v>2021</v>
      </c>
      <c r="AT858" s="20" t="e">
        <f t="shared" si="340"/>
        <v>#N/A</v>
      </c>
    </row>
    <row r="859" spans="1:46" ht="61.5" x14ac:dyDescent="0.85">
      <c r="A859" s="20">
        <v>1</v>
      </c>
      <c r="B859" s="66">
        <f>SUBTOTAL(103,$A$567:A859)</f>
        <v>265</v>
      </c>
      <c r="C859" s="24" t="s">
        <v>83</v>
      </c>
      <c r="D859" s="31">
        <f t="shared" si="342"/>
        <v>947985.6</v>
      </c>
      <c r="E859" s="31">
        <v>0</v>
      </c>
      <c r="F859" s="31">
        <v>0</v>
      </c>
      <c r="G859" s="31">
        <v>0</v>
      </c>
      <c r="H859" s="31">
        <v>0</v>
      </c>
      <c r="I859" s="31">
        <v>0</v>
      </c>
      <c r="J859" s="31">
        <v>0</v>
      </c>
      <c r="K859" s="33">
        <v>0</v>
      </c>
      <c r="L859" s="31">
        <v>0</v>
      </c>
      <c r="M859" s="31">
        <v>160</v>
      </c>
      <c r="N859" s="31">
        <v>815749.36</v>
      </c>
      <c r="O859" s="31">
        <v>0</v>
      </c>
      <c r="P859" s="31">
        <v>0</v>
      </c>
      <c r="Q859" s="31">
        <v>0</v>
      </c>
      <c r="R859" s="31">
        <v>0</v>
      </c>
      <c r="S859" s="31">
        <v>0</v>
      </c>
      <c r="T859" s="31">
        <v>0</v>
      </c>
      <c r="U859" s="31">
        <v>0</v>
      </c>
      <c r="V859" s="31">
        <v>0</v>
      </c>
      <c r="W859" s="31">
        <v>0</v>
      </c>
      <c r="X859" s="31">
        <v>0</v>
      </c>
      <c r="Y859" s="31">
        <v>0</v>
      </c>
      <c r="Z859" s="31">
        <v>0</v>
      </c>
      <c r="AA859" s="31">
        <v>0</v>
      </c>
      <c r="AB859" s="31">
        <v>0</v>
      </c>
      <c r="AC859" s="31">
        <f t="shared" si="343"/>
        <v>12236.24</v>
      </c>
      <c r="AD859" s="31">
        <v>120000</v>
      </c>
      <c r="AE859" s="31">
        <v>0</v>
      </c>
      <c r="AF859" s="34">
        <v>2021</v>
      </c>
      <c r="AG859" s="34">
        <v>2021</v>
      </c>
      <c r="AH859" s="35">
        <v>2021</v>
      </c>
      <c r="AT859" s="20" t="e">
        <f t="shared" si="340"/>
        <v>#N/A</v>
      </c>
    </row>
    <row r="860" spans="1:46" ht="61.5" x14ac:dyDescent="0.85">
      <c r="B860" s="24" t="s">
        <v>916</v>
      </c>
      <c r="C860" s="24"/>
      <c r="D860" s="31">
        <f t="shared" ref="D860:AE860" si="344">D861</f>
        <v>2568179.12</v>
      </c>
      <c r="E860" s="31">
        <f t="shared" si="344"/>
        <v>0</v>
      </c>
      <c r="F860" s="31">
        <f t="shared" si="344"/>
        <v>0</v>
      </c>
      <c r="G860" s="31">
        <f t="shared" si="344"/>
        <v>0</v>
      </c>
      <c r="H860" s="31">
        <f t="shared" si="344"/>
        <v>0</v>
      </c>
      <c r="I860" s="31">
        <f t="shared" si="344"/>
        <v>0</v>
      </c>
      <c r="J860" s="31">
        <f t="shared" si="344"/>
        <v>0</v>
      </c>
      <c r="K860" s="33">
        <f t="shared" si="344"/>
        <v>0</v>
      </c>
      <c r="L860" s="31">
        <f t="shared" si="344"/>
        <v>0</v>
      </c>
      <c r="M860" s="31">
        <f t="shared" si="344"/>
        <v>399.43</v>
      </c>
      <c r="N860" s="31">
        <f t="shared" si="344"/>
        <v>2411999.13</v>
      </c>
      <c r="O860" s="31">
        <f t="shared" si="344"/>
        <v>0</v>
      </c>
      <c r="P860" s="31">
        <f t="shared" si="344"/>
        <v>0</v>
      </c>
      <c r="Q860" s="31">
        <f t="shared" si="344"/>
        <v>0</v>
      </c>
      <c r="R860" s="31">
        <f t="shared" si="344"/>
        <v>0</v>
      </c>
      <c r="S860" s="31">
        <f t="shared" si="344"/>
        <v>0</v>
      </c>
      <c r="T860" s="31">
        <f t="shared" si="344"/>
        <v>0</v>
      </c>
      <c r="U860" s="31">
        <f t="shared" si="344"/>
        <v>0</v>
      </c>
      <c r="V860" s="31">
        <f t="shared" si="344"/>
        <v>0</v>
      </c>
      <c r="W860" s="31">
        <f t="shared" si="344"/>
        <v>0</v>
      </c>
      <c r="X860" s="31">
        <f t="shared" si="344"/>
        <v>0</v>
      </c>
      <c r="Y860" s="31">
        <f t="shared" si="344"/>
        <v>0</v>
      </c>
      <c r="Z860" s="31">
        <f t="shared" si="344"/>
        <v>0</v>
      </c>
      <c r="AA860" s="31">
        <f t="shared" si="344"/>
        <v>0</v>
      </c>
      <c r="AB860" s="31">
        <f t="shared" si="344"/>
        <v>0</v>
      </c>
      <c r="AC860" s="31">
        <f t="shared" si="344"/>
        <v>36179.99</v>
      </c>
      <c r="AD860" s="31">
        <f t="shared" si="344"/>
        <v>120000</v>
      </c>
      <c r="AE860" s="31">
        <f t="shared" si="344"/>
        <v>0</v>
      </c>
      <c r="AF860" s="72" t="s">
        <v>794</v>
      </c>
      <c r="AG860" s="72" t="s">
        <v>794</v>
      </c>
      <c r="AH860" s="91" t="s">
        <v>794</v>
      </c>
      <c r="AT860" s="20" t="e">
        <f t="shared" si="340"/>
        <v>#N/A</v>
      </c>
    </row>
    <row r="861" spans="1:46" ht="61.5" x14ac:dyDescent="0.85">
      <c r="A861" s="20">
        <v>1</v>
      </c>
      <c r="B861" s="66">
        <f>SUBTOTAL(103,$A$567:A861)</f>
        <v>266</v>
      </c>
      <c r="C861" s="24" t="s">
        <v>84</v>
      </c>
      <c r="D861" s="31">
        <f t="shared" ref="D861" si="345">E861+F861+G861+H861+I861+J861+L861+N861+P861+R861+T861+U861+V861+W861+X861+Y861+Z861+AA861+AB861+AC861+AD861+AE861</f>
        <v>2568179.12</v>
      </c>
      <c r="E861" s="31">
        <v>0</v>
      </c>
      <c r="F861" s="31">
        <v>0</v>
      </c>
      <c r="G861" s="31">
        <v>0</v>
      </c>
      <c r="H861" s="31">
        <v>0</v>
      </c>
      <c r="I861" s="31">
        <v>0</v>
      </c>
      <c r="J861" s="31">
        <v>0</v>
      </c>
      <c r="K861" s="33">
        <v>0</v>
      </c>
      <c r="L861" s="31">
        <v>0</v>
      </c>
      <c r="M861" s="31">
        <v>399.43</v>
      </c>
      <c r="N861" s="31">
        <v>2411999.13</v>
      </c>
      <c r="O861" s="31">
        <v>0</v>
      </c>
      <c r="P861" s="31">
        <v>0</v>
      </c>
      <c r="Q861" s="31">
        <v>0</v>
      </c>
      <c r="R861" s="31">
        <v>0</v>
      </c>
      <c r="S861" s="31">
        <v>0</v>
      </c>
      <c r="T861" s="31">
        <v>0</v>
      </c>
      <c r="U861" s="31">
        <v>0</v>
      </c>
      <c r="V861" s="31">
        <v>0</v>
      </c>
      <c r="W861" s="31">
        <v>0</v>
      </c>
      <c r="X861" s="31">
        <v>0</v>
      </c>
      <c r="Y861" s="31">
        <v>0</v>
      </c>
      <c r="Z861" s="31">
        <v>0</v>
      </c>
      <c r="AA861" s="31">
        <v>0</v>
      </c>
      <c r="AB861" s="31">
        <v>0</v>
      </c>
      <c r="AC861" s="31">
        <f>ROUND(N861*1.5%,2)</f>
        <v>36179.99</v>
      </c>
      <c r="AD861" s="31">
        <v>120000</v>
      </c>
      <c r="AE861" s="31">
        <v>0</v>
      </c>
      <c r="AF861" s="34">
        <v>2021</v>
      </c>
      <c r="AG861" s="34">
        <v>2021</v>
      </c>
      <c r="AH861" s="35">
        <v>2021</v>
      </c>
      <c r="AT861" s="20" t="e">
        <f t="shared" si="340"/>
        <v>#N/A</v>
      </c>
    </row>
    <row r="862" spans="1:46" ht="61.5" x14ac:dyDescent="0.85">
      <c r="B862" s="24" t="s">
        <v>883</v>
      </c>
      <c r="C862" s="117"/>
      <c r="D862" s="31">
        <f t="shared" ref="D862:AE862" si="346">D863</f>
        <v>2981647.8</v>
      </c>
      <c r="E862" s="31">
        <f t="shared" si="346"/>
        <v>0</v>
      </c>
      <c r="F862" s="31">
        <f t="shared" si="346"/>
        <v>0</v>
      </c>
      <c r="G862" s="31">
        <f t="shared" si="346"/>
        <v>0</v>
      </c>
      <c r="H862" s="31">
        <f t="shared" si="346"/>
        <v>0</v>
      </c>
      <c r="I862" s="31">
        <f t="shared" si="346"/>
        <v>0</v>
      </c>
      <c r="J862" s="31">
        <f t="shared" si="346"/>
        <v>0</v>
      </c>
      <c r="K862" s="33">
        <f t="shared" si="346"/>
        <v>0</v>
      </c>
      <c r="L862" s="31">
        <f t="shared" si="346"/>
        <v>0</v>
      </c>
      <c r="M862" s="31">
        <f t="shared" si="346"/>
        <v>571</v>
      </c>
      <c r="N862" s="31">
        <f t="shared" si="346"/>
        <v>2789800.79</v>
      </c>
      <c r="O862" s="31">
        <f t="shared" si="346"/>
        <v>0</v>
      </c>
      <c r="P862" s="31">
        <f t="shared" si="346"/>
        <v>0</v>
      </c>
      <c r="Q862" s="31">
        <f t="shared" si="346"/>
        <v>0</v>
      </c>
      <c r="R862" s="31">
        <f t="shared" si="346"/>
        <v>0</v>
      </c>
      <c r="S862" s="31">
        <f t="shared" si="346"/>
        <v>0</v>
      </c>
      <c r="T862" s="31">
        <f t="shared" si="346"/>
        <v>0</v>
      </c>
      <c r="U862" s="31">
        <f t="shared" si="346"/>
        <v>0</v>
      </c>
      <c r="V862" s="31">
        <f t="shared" si="346"/>
        <v>0</v>
      </c>
      <c r="W862" s="31">
        <f t="shared" si="346"/>
        <v>0</v>
      </c>
      <c r="X862" s="31">
        <f t="shared" si="346"/>
        <v>0</v>
      </c>
      <c r="Y862" s="31">
        <f t="shared" si="346"/>
        <v>0</v>
      </c>
      <c r="Z862" s="31">
        <f t="shared" si="346"/>
        <v>0</v>
      </c>
      <c r="AA862" s="31">
        <f t="shared" si="346"/>
        <v>0</v>
      </c>
      <c r="AB862" s="31">
        <f t="shared" si="346"/>
        <v>0</v>
      </c>
      <c r="AC862" s="31">
        <f t="shared" si="346"/>
        <v>41847.01</v>
      </c>
      <c r="AD862" s="31">
        <f t="shared" si="346"/>
        <v>150000</v>
      </c>
      <c r="AE862" s="31">
        <f t="shared" si="346"/>
        <v>0</v>
      </c>
      <c r="AF862" s="72" t="s">
        <v>794</v>
      </c>
      <c r="AG862" s="72" t="s">
        <v>794</v>
      </c>
      <c r="AH862" s="91" t="s">
        <v>794</v>
      </c>
      <c r="AT862" s="20" t="e">
        <f t="shared" si="340"/>
        <v>#N/A</v>
      </c>
    </row>
    <row r="863" spans="1:46" ht="61.5" x14ac:dyDescent="0.85">
      <c r="A863" s="20">
        <v>1</v>
      </c>
      <c r="B863" s="66">
        <f>SUBTOTAL(103,$A$567:A863)</f>
        <v>267</v>
      </c>
      <c r="C863" s="24" t="s">
        <v>107</v>
      </c>
      <c r="D863" s="31">
        <f t="shared" ref="D863" si="347">E863+F863+G863+H863+I863+J863+L863+N863+P863+R863+T863+U863+V863+W863+X863+Y863+Z863+AA863+AB863+AC863+AD863+AE863</f>
        <v>2981647.8</v>
      </c>
      <c r="E863" s="31">
        <v>0</v>
      </c>
      <c r="F863" s="31">
        <v>0</v>
      </c>
      <c r="G863" s="31">
        <v>0</v>
      </c>
      <c r="H863" s="31">
        <v>0</v>
      </c>
      <c r="I863" s="31">
        <v>0</v>
      </c>
      <c r="J863" s="31">
        <v>0</v>
      </c>
      <c r="K863" s="33">
        <v>0</v>
      </c>
      <c r="L863" s="31">
        <v>0</v>
      </c>
      <c r="M863" s="31">
        <v>571</v>
      </c>
      <c r="N863" s="31">
        <v>2789800.79</v>
      </c>
      <c r="O863" s="31">
        <v>0</v>
      </c>
      <c r="P863" s="31">
        <v>0</v>
      </c>
      <c r="Q863" s="31">
        <v>0</v>
      </c>
      <c r="R863" s="31">
        <v>0</v>
      </c>
      <c r="S863" s="31">
        <v>0</v>
      </c>
      <c r="T863" s="31">
        <v>0</v>
      </c>
      <c r="U863" s="31">
        <v>0</v>
      </c>
      <c r="V863" s="31">
        <v>0</v>
      </c>
      <c r="W863" s="31">
        <v>0</v>
      </c>
      <c r="X863" s="31">
        <v>0</v>
      </c>
      <c r="Y863" s="31">
        <v>0</v>
      </c>
      <c r="Z863" s="31">
        <v>0</v>
      </c>
      <c r="AA863" s="31">
        <v>0</v>
      </c>
      <c r="AB863" s="31">
        <v>0</v>
      </c>
      <c r="AC863" s="31">
        <f>ROUND(N863*1.5%,2)</f>
        <v>41847.01</v>
      </c>
      <c r="AD863" s="31">
        <v>150000</v>
      </c>
      <c r="AE863" s="31">
        <v>0</v>
      </c>
      <c r="AF863" s="34">
        <v>2021</v>
      </c>
      <c r="AG863" s="34">
        <v>2021</v>
      </c>
      <c r="AH863" s="35">
        <v>2021</v>
      </c>
      <c r="AT863" s="20" t="e">
        <f t="shared" si="340"/>
        <v>#N/A</v>
      </c>
    </row>
    <row r="864" spans="1:46" ht="61.5" x14ac:dyDescent="0.85">
      <c r="B864" s="24" t="s">
        <v>917</v>
      </c>
      <c r="C864" s="24"/>
      <c r="D864" s="31">
        <f t="shared" ref="D864:AE864" si="348">D865</f>
        <v>4290230.8800000008</v>
      </c>
      <c r="E864" s="31">
        <f t="shared" si="348"/>
        <v>0</v>
      </c>
      <c r="F864" s="31">
        <f t="shared" si="348"/>
        <v>0</v>
      </c>
      <c r="G864" s="31">
        <f t="shared" si="348"/>
        <v>0</v>
      </c>
      <c r="H864" s="31">
        <f t="shared" si="348"/>
        <v>0</v>
      </c>
      <c r="I864" s="31">
        <f t="shared" si="348"/>
        <v>0</v>
      </c>
      <c r="J864" s="31">
        <f t="shared" si="348"/>
        <v>0</v>
      </c>
      <c r="K864" s="33">
        <f t="shared" si="348"/>
        <v>0</v>
      </c>
      <c r="L864" s="31">
        <f t="shared" si="348"/>
        <v>0</v>
      </c>
      <c r="M864" s="31">
        <f t="shared" si="348"/>
        <v>821.6</v>
      </c>
      <c r="N864" s="31">
        <f t="shared" si="348"/>
        <v>4079045.2</v>
      </c>
      <c r="O864" s="31">
        <f t="shared" si="348"/>
        <v>0</v>
      </c>
      <c r="P864" s="31">
        <f t="shared" si="348"/>
        <v>0</v>
      </c>
      <c r="Q864" s="31">
        <f t="shared" si="348"/>
        <v>0</v>
      </c>
      <c r="R864" s="31">
        <f t="shared" si="348"/>
        <v>0</v>
      </c>
      <c r="S864" s="31">
        <f t="shared" si="348"/>
        <v>0</v>
      </c>
      <c r="T864" s="31">
        <f t="shared" si="348"/>
        <v>0</v>
      </c>
      <c r="U864" s="31">
        <f t="shared" si="348"/>
        <v>0</v>
      </c>
      <c r="V864" s="31">
        <f t="shared" si="348"/>
        <v>0</v>
      </c>
      <c r="W864" s="31">
        <f t="shared" si="348"/>
        <v>0</v>
      </c>
      <c r="X864" s="31">
        <f t="shared" si="348"/>
        <v>0</v>
      </c>
      <c r="Y864" s="31">
        <f t="shared" si="348"/>
        <v>0</v>
      </c>
      <c r="Z864" s="31">
        <f t="shared" si="348"/>
        <v>0</v>
      </c>
      <c r="AA864" s="31">
        <f t="shared" si="348"/>
        <v>0</v>
      </c>
      <c r="AB864" s="31">
        <f t="shared" si="348"/>
        <v>0</v>
      </c>
      <c r="AC864" s="31">
        <f t="shared" si="348"/>
        <v>61185.68</v>
      </c>
      <c r="AD864" s="31">
        <f t="shared" si="348"/>
        <v>150000</v>
      </c>
      <c r="AE864" s="31">
        <f t="shared" si="348"/>
        <v>0</v>
      </c>
      <c r="AF864" s="72" t="s">
        <v>794</v>
      </c>
      <c r="AG864" s="72" t="s">
        <v>794</v>
      </c>
      <c r="AH864" s="91" t="s">
        <v>794</v>
      </c>
      <c r="AT864" s="20" t="e">
        <f t="shared" si="340"/>
        <v>#N/A</v>
      </c>
    </row>
    <row r="865" spans="1:46" ht="61.5" x14ac:dyDescent="0.85">
      <c r="A865" s="20">
        <v>1</v>
      </c>
      <c r="B865" s="66">
        <f>SUBTOTAL(103,$A$567:A865)</f>
        <v>268</v>
      </c>
      <c r="C865" s="24" t="s">
        <v>113</v>
      </c>
      <c r="D865" s="31">
        <f t="shared" ref="D865" si="349">E865+F865+G865+H865+I865+J865+L865+N865+P865+R865+T865+U865+V865+W865+X865+Y865+Z865+AA865+AB865+AC865+AD865+AE865</f>
        <v>4290230.8800000008</v>
      </c>
      <c r="E865" s="31">
        <v>0</v>
      </c>
      <c r="F865" s="31">
        <v>0</v>
      </c>
      <c r="G865" s="31">
        <v>0</v>
      </c>
      <c r="H865" s="31">
        <v>0</v>
      </c>
      <c r="I865" s="31">
        <v>0</v>
      </c>
      <c r="J865" s="31">
        <v>0</v>
      </c>
      <c r="K865" s="33">
        <v>0</v>
      </c>
      <c r="L865" s="31">
        <v>0</v>
      </c>
      <c r="M865" s="31">
        <v>821.6</v>
      </c>
      <c r="N865" s="31">
        <v>4079045.2</v>
      </c>
      <c r="O865" s="31">
        <v>0</v>
      </c>
      <c r="P865" s="31">
        <v>0</v>
      </c>
      <c r="Q865" s="31">
        <v>0</v>
      </c>
      <c r="R865" s="31">
        <v>0</v>
      </c>
      <c r="S865" s="31">
        <v>0</v>
      </c>
      <c r="T865" s="31">
        <v>0</v>
      </c>
      <c r="U865" s="31">
        <v>0</v>
      </c>
      <c r="V865" s="31">
        <v>0</v>
      </c>
      <c r="W865" s="31">
        <v>0</v>
      </c>
      <c r="X865" s="31">
        <v>0</v>
      </c>
      <c r="Y865" s="31">
        <v>0</v>
      </c>
      <c r="Z865" s="31">
        <v>0</v>
      </c>
      <c r="AA865" s="31">
        <v>0</v>
      </c>
      <c r="AB865" s="31">
        <v>0</v>
      </c>
      <c r="AC865" s="31">
        <f>ROUND(N865*1.5%,2)</f>
        <v>61185.68</v>
      </c>
      <c r="AD865" s="31">
        <v>150000</v>
      </c>
      <c r="AE865" s="31">
        <v>0</v>
      </c>
      <c r="AF865" s="34">
        <v>2021</v>
      </c>
      <c r="AG865" s="34">
        <v>2021</v>
      </c>
      <c r="AH865" s="35">
        <v>2021</v>
      </c>
      <c r="AT865" s="20" t="e">
        <f t="shared" si="340"/>
        <v>#N/A</v>
      </c>
    </row>
    <row r="866" spans="1:46" ht="61.5" x14ac:dyDescent="0.85">
      <c r="B866" s="24" t="s">
        <v>918</v>
      </c>
      <c r="C866" s="24"/>
      <c r="D866" s="31">
        <f t="shared" ref="D866:AE866" si="350">D867</f>
        <v>2903320.8000000003</v>
      </c>
      <c r="E866" s="31">
        <f t="shared" si="350"/>
        <v>0</v>
      </c>
      <c r="F866" s="31">
        <f t="shared" si="350"/>
        <v>0</v>
      </c>
      <c r="G866" s="31">
        <f t="shared" si="350"/>
        <v>0</v>
      </c>
      <c r="H866" s="31">
        <f t="shared" si="350"/>
        <v>0</v>
      </c>
      <c r="I866" s="31">
        <f t="shared" si="350"/>
        <v>0</v>
      </c>
      <c r="J866" s="31">
        <f t="shared" si="350"/>
        <v>0</v>
      </c>
      <c r="K866" s="33">
        <f t="shared" si="350"/>
        <v>0</v>
      </c>
      <c r="L866" s="31">
        <f t="shared" si="350"/>
        <v>0</v>
      </c>
      <c r="M866" s="31">
        <f t="shared" si="350"/>
        <v>556</v>
      </c>
      <c r="N866" s="31">
        <f t="shared" si="350"/>
        <v>2712631.33</v>
      </c>
      <c r="O866" s="31">
        <f t="shared" si="350"/>
        <v>0</v>
      </c>
      <c r="P866" s="31">
        <f t="shared" si="350"/>
        <v>0</v>
      </c>
      <c r="Q866" s="31">
        <f t="shared" si="350"/>
        <v>0</v>
      </c>
      <c r="R866" s="31">
        <f t="shared" si="350"/>
        <v>0</v>
      </c>
      <c r="S866" s="31">
        <f t="shared" si="350"/>
        <v>0</v>
      </c>
      <c r="T866" s="31">
        <f t="shared" si="350"/>
        <v>0</v>
      </c>
      <c r="U866" s="31">
        <f t="shared" si="350"/>
        <v>0</v>
      </c>
      <c r="V866" s="31">
        <f t="shared" si="350"/>
        <v>0</v>
      </c>
      <c r="W866" s="31">
        <f t="shared" si="350"/>
        <v>0</v>
      </c>
      <c r="X866" s="31">
        <f t="shared" si="350"/>
        <v>0</v>
      </c>
      <c r="Y866" s="31">
        <f t="shared" si="350"/>
        <v>0</v>
      </c>
      <c r="Z866" s="31">
        <f t="shared" si="350"/>
        <v>0</v>
      </c>
      <c r="AA866" s="31">
        <f t="shared" si="350"/>
        <v>0</v>
      </c>
      <c r="AB866" s="31">
        <f t="shared" si="350"/>
        <v>0</v>
      </c>
      <c r="AC866" s="31">
        <f t="shared" si="350"/>
        <v>40689.47</v>
      </c>
      <c r="AD866" s="31">
        <f t="shared" si="350"/>
        <v>150000</v>
      </c>
      <c r="AE866" s="31">
        <f t="shared" si="350"/>
        <v>0</v>
      </c>
      <c r="AF866" s="72" t="s">
        <v>794</v>
      </c>
      <c r="AG866" s="72" t="s">
        <v>794</v>
      </c>
      <c r="AH866" s="91" t="s">
        <v>794</v>
      </c>
      <c r="AT866" s="20" t="e">
        <f t="shared" si="340"/>
        <v>#N/A</v>
      </c>
    </row>
    <row r="867" spans="1:46" ht="61.5" x14ac:dyDescent="0.85">
      <c r="A867" s="20">
        <v>1</v>
      </c>
      <c r="B867" s="66">
        <f>SUBTOTAL(103,$A$567:A867)</f>
        <v>269</v>
      </c>
      <c r="C867" s="24" t="s">
        <v>112</v>
      </c>
      <c r="D867" s="31">
        <f t="shared" ref="D867" si="351">E867+F867+G867+H867+I867+J867+L867+N867+P867+R867+T867+U867+V867+W867+X867+Y867+Z867+AA867+AB867+AC867+AD867+AE867</f>
        <v>2903320.8000000003</v>
      </c>
      <c r="E867" s="31">
        <v>0</v>
      </c>
      <c r="F867" s="31">
        <v>0</v>
      </c>
      <c r="G867" s="31">
        <v>0</v>
      </c>
      <c r="H867" s="31">
        <v>0</v>
      </c>
      <c r="I867" s="31">
        <v>0</v>
      </c>
      <c r="J867" s="31">
        <v>0</v>
      </c>
      <c r="K867" s="33">
        <v>0</v>
      </c>
      <c r="L867" s="31">
        <v>0</v>
      </c>
      <c r="M867" s="31">
        <v>556</v>
      </c>
      <c r="N867" s="31">
        <v>2712631.33</v>
      </c>
      <c r="O867" s="31">
        <v>0</v>
      </c>
      <c r="P867" s="31">
        <v>0</v>
      </c>
      <c r="Q867" s="31">
        <v>0</v>
      </c>
      <c r="R867" s="31">
        <v>0</v>
      </c>
      <c r="S867" s="31">
        <v>0</v>
      </c>
      <c r="T867" s="31">
        <v>0</v>
      </c>
      <c r="U867" s="31">
        <v>0</v>
      </c>
      <c r="V867" s="31">
        <v>0</v>
      </c>
      <c r="W867" s="31">
        <v>0</v>
      </c>
      <c r="X867" s="31">
        <v>0</v>
      </c>
      <c r="Y867" s="31">
        <v>0</v>
      </c>
      <c r="Z867" s="31">
        <v>0</v>
      </c>
      <c r="AA867" s="31">
        <v>0</v>
      </c>
      <c r="AB867" s="31">
        <v>0</v>
      </c>
      <c r="AC867" s="31">
        <f>ROUND(N867*1.5%,2)</f>
        <v>40689.47</v>
      </c>
      <c r="AD867" s="31">
        <v>150000</v>
      </c>
      <c r="AE867" s="31">
        <v>0</v>
      </c>
      <c r="AF867" s="34">
        <v>2021</v>
      </c>
      <c r="AG867" s="34">
        <v>2021</v>
      </c>
      <c r="AH867" s="35">
        <v>2021</v>
      </c>
      <c r="AT867" s="20" t="e">
        <f t="shared" si="340"/>
        <v>#N/A</v>
      </c>
    </row>
    <row r="868" spans="1:46" ht="61.5" x14ac:dyDescent="0.85">
      <c r="B868" s="24" t="s">
        <v>884</v>
      </c>
      <c r="C868" s="117"/>
      <c r="D868" s="31">
        <f t="shared" ref="D868:AE868" si="352">D869</f>
        <v>3826397.3000000003</v>
      </c>
      <c r="E868" s="31">
        <f t="shared" si="352"/>
        <v>0</v>
      </c>
      <c r="F868" s="31">
        <f t="shared" si="352"/>
        <v>0</v>
      </c>
      <c r="G868" s="31">
        <f t="shared" si="352"/>
        <v>0</v>
      </c>
      <c r="H868" s="31">
        <f t="shared" si="352"/>
        <v>0</v>
      </c>
      <c r="I868" s="31">
        <f t="shared" si="352"/>
        <v>0</v>
      </c>
      <c r="J868" s="31">
        <f t="shared" si="352"/>
        <v>0</v>
      </c>
      <c r="K868" s="33">
        <f t="shared" si="352"/>
        <v>0</v>
      </c>
      <c r="L868" s="31">
        <f t="shared" si="352"/>
        <v>0</v>
      </c>
      <c r="M868" s="31">
        <f t="shared" si="352"/>
        <v>794.3</v>
      </c>
      <c r="N868" s="31">
        <f t="shared" si="352"/>
        <v>3622066.31</v>
      </c>
      <c r="O868" s="31">
        <f t="shared" si="352"/>
        <v>0</v>
      </c>
      <c r="P868" s="31">
        <f t="shared" si="352"/>
        <v>0</v>
      </c>
      <c r="Q868" s="31">
        <f t="shared" si="352"/>
        <v>0</v>
      </c>
      <c r="R868" s="31">
        <f t="shared" si="352"/>
        <v>0</v>
      </c>
      <c r="S868" s="31">
        <f t="shared" si="352"/>
        <v>0</v>
      </c>
      <c r="T868" s="31">
        <f t="shared" si="352"/>
        <v>0</v>
      </c>
      <c r="U868" s="31">
        <f t="shared" si="352"/>
        <v>0</v>
      </c>
      <c r="V868" s="31">
        <f t="shared" si="352"/>
        <v>0</v>
      </c>
      <c r="W868" s="31">
        <f t="shared" si="352"/>
        <v>0</v>
      </c>
      <c r="X868" s="31">
        <f t="shared" si="352"/>
        <v>0</v>
      </c>
      <c r="Y868" s="31">
        <f t="shared" si="352"/>
        <v>0</v>
      </c>
      <c r="Z868" s="31">
        <f t="shared" si="352"/>
        <v>0</v>
      </c>
      <c r="AA868" s="31">
        <f t="shared" si="352"/>
        <v>0</v>
      </c>
      <c r="AB868" s="31">
        <f t="shared" si="352"/>
        <v>0</v>
      </c>
      <c r="AC868" s="31">
        <f t="shared" si="352"/>
        <v>54330.99</v>
      </c>
      <c r="AD868" s="31">
        <f t="shared" si="352"/>
        <v>150000</v>
      </c>
      <c r="AE868" s="31">
        <f t="shared" si="352"/>
        <v>0</v>
      </c>
      <c r="AF868" s="72" t="s">
        <v>794</v>
      </c>
      <c r="AG868" s="72" t="s">
        <v>794</v>
      </c>
      <c r="AH868" s="91" t="s">
        <v>794</v>
      </c>
      <c r="AT868" s="20" t="e">
        <f t="shared" si="340"/>
        <v>#N/A</v>
      </c>
    </row>
    <row r="869" spans="1:46" ht="61.5" x14ac:dyDescent="0.85">
      <c r="A869" s="20">
        <v>1</v>
      </c>
      <c r="B869" s="66">
        <f>SUBTOTAL(103,$A$567:A869)</f>
        <v>270</v>
      </c>
      <c r="C869" s="24" t="s">
        <v>57</v>
      </c>
      <c r="D869" s="31">
        <f t="shared" ref="D869" si="353">E869+F869+G869+H869+I869+J869+L869+N869+P869+R869+T869+U869+V869+W869+X869+Y869+Z869+AA869+AB869+AC869+AD869+AE869</f>
        <v>3826397.3000000003</v>
      </c>
      <c r="E869" s="31">
        <v>0</v>
      </c>
      <c r="F869" s="31">
        <v>0</v>
      </c>
      <c r="G869" s="31">
        <v>0</v>
      </c>
      <c r="H869" s="31">
        <v>0</v>
      </c>
      <c r="I869" s="31">
        <v>0</v>
      </c>
      <c r="J869" s="31">
        <v>0</v>
      </c>
      <c r="K869" s="33">
        <v>0</v>
      </c>
      <c r="L869" s="31">
        <v>0</v>
      </c>
      <c r="M869" s="31">
        <v>794.3</v>
      </c>
      <c r="N869" s="31">
        <v>3622066.31</v>
      </c>
      <c r="O869" s="31">
        <v>0</v>
      </c>
      <c r="P869" s="31">
        <v>0</v>
      </c>
      <c r="Q869" s="31">
        <v>0</v>
      </c>
      <c r="R869" s="31">
        <v>0</v>
      </c>
      <c r="S869" s="31">
        <v>0</v>
      </c>
      <c r="T869" s="31">
        <v>0</v>
      </c>
      <c r="U869" s="31">
        <v>0</v>
      </c>
      <c r="V869" s="31">
        <v>0</v>
      </c>
      <c r="W869" s="31">
        <v>0</v>
      </c>
      <c r="X869" s="31">
        <v>0</v>
      </c>
      <c r="Y869" s="31">
        <v>0</v>
      </c>
      <c r="Z869" s="31">
        <v>0</v>
      </c>
      <c r="AA869" s="31">
        <v>0</v>
      </c>
      <c r="AB869" s="31">
        <v>0</v>
      </c>
      <c r="AC869" s="31">
        <f>ROUND(N869*1.5%,2)</f>
        <v>54330.99</v>
      </c>
      <c r="AD869" s="31">
        <v>150000</v>
      </c>
      <c r="AE869" s="31">
        <v>0</v>
      </c>
      <c r="AF869" s="34">
        <v>2021</v>
      </c>
      <c r="AG869" s="34">
        <v>2021</v>
      </c>
      <c r="AH869" s="35">
        <v>2021</v>
      </c>
      <c r="AT869" s="20" t="e">
        <f t="shared" si="340"/>
        <v>#N/A</v>
      </c>
    </row>
    <row r="870" spans="1:46" ht="61.5" x14ac:dyDescent="0.85">
      <c r="B870" s="24" t="s">
        <v>885</v>
      </c>
      <c r="C870" s="24"/>
      <c r="D870" s="31">
        <f t="shared" ref="D870:AE870" si="354">D871</f>
        <v>5858309.4800000004</v>
      </c>
      <c r="E870" s="31">
        <f t="shared" si="354"/>
        <v>0</v>
      </c>
      <c r="F870" s="31">
        <f t="shared" si="354"/>
        <v>0</v>
      </c>
      <c r="G870" s="31">
        <f t="shared" si="354"/>
        <v>0</v>
      </c>
      <c r="H870" s="31">
        <f t="shared" si="354"/>
        <v>0</v>
      </c>
      <c r="I870" s="31">
        <f t="shared" si="354"/>
        <v>0</v>
      </c>
      <c r="J870" s="31">
        <f t="shared" si="354"/>
        <v>0</v>
      </c>
      <c r="K870" s="33">
        <f t="shared" si="354"/>
        <v>0</v>
      </c>
      <c r="L870" s="31">
        <f t="shared" si="354"/>
        <v>0</v>
      </c>
      <c r="M870" s="31">
        <f t="shared" si="354"/>
        <v>1576</v>
      </c>
      <c r="N870" s="31">
        <f t="shared" si="354"/>
        <v>5594393.5800000001</v>
      </c>
      <c r="O870" s="31">
        <f t="shared" si="354"/>
        <v>0</v>
      </c>
      <c r="P870" s="31">
        <f t="shared" si="354"/>
        <v>0</v>
      </c>
      <c r="Q870" s="31">
        <f t="shared" si="354"/>
        <v>0</v>
      </c>
      <c r="R870" s="31">
        <f t="shared" si="354"/>
        <v>0</v>
      </c>
      <c r="S870" s="31">
        <f t="shared" si="354"/>
        <v>0</v>
      </c>
      <c r="T870" s="31">
        <f t="shared" si="354"/>
        <v>0</v>
      </c>
      <c r="U870" s="31">
        <f t="shared" si="354"/>
        <v>0</v>
      </c>
      <c r="V870" s="31">
        <f t="shared" si="354"/>
        <v>0</v>
      </c>
      <c r="W870" s="31">
        <f t="shared" si="354"/>
        <v>0</v>
      </c>
      <c r="X870" s="31">
        <f t="shared" si="354"/>
        <v>0</v>
      </c>
      <c r="Y870" s="31">
        <f t="shared" si="354"/>
        <v>0</v>
      </c>
      <c r="Z870" s="31">
        <f t="shared" si="354"/>
        <v>0</v>
      </c>
      <c r="AA870" s="31">
        <f t="shared" si="354"/>
        <v>0</v>
      </c>
      <c r="AB870" s="31">
        <f t="shared" si="354"/>
        <v>0</v>
      </c>
      <c r="AC870" s="31">
        <f t="shared" si="354"/>
        <v>83915.9</v>
      </c>
      <c r="AD870" s="31">
        <f t="shared" si="354"/>
        <v>180000</v>
      </c>
      <c r="AE870" s="31">
        <f t="shared" si="354"/>
        <v>0</v>
      </c>
      <c r="AF870" s="72" t="s">
        <v>794</v>
      </c>
      <c r="AG870" s="72" t="s">
        <v>794</v>
      </c>
      <c r="AH870" s="91" t="s">
        <v>794</v>
      </c>
      <c r="AT870" s="20" t="e">
        <f t="shared" si="340"/>
        <v>#N/A</v>
      </c>
    </row>
    <row r="871" spans="1:46" ht="61.5" x14ac:dyDescent="0.85">
      <c r="A871" s="20">
        <v>1</v>
      </c>
      <c r="B871" s="66">
        <f>SUBTOTAL(103,$A$567:A871)</f>
        <v>271</v>
      </c>
      <c r="C871" s="24" t="s">
        <v>41</v>
      </c>
      <c r="D871" s="31">
        <f t="shared" ref="D871" si="355">E871+F871+G871+H871+I871+J871+L871+N871+P871+R871+T871+U871+V871+W871+X871+Y871+Z871+AA871+AB871+AC871+AD871+AE871</f>
        <v>5858309.4800000004</v>
      </c>
      <c r="E871" s="31">
        <v>0</v>
      </c>
      <c r="F871" s="31">
        <v>0</v>
      </c>
      <c r="G871" s="31">
        <v>0</v>
      </c>
      <c r="H871" s="31">
        <v>0</v>
      </c>
      <c r="I871" s="31">
        <v>0</v>
      </c>
      <c r="J871" s="31">
        <v>0</v>
      </c>
      <c r="K871" s="33">
        <v>0</v>
      </c>
      <c r="L871" s="31">
        <v>0</v>
      </c>
      <c r="M871" s="31">
        <v>1576</v>
      </c>
      <c r="N871" s="31">
        <v>5594393.5800000001</v>
      </c>
      <c r="O871" s="31">
        <v>0</v>
      </c>
      <c r="P871" s="31">
        <v>0</v>
      </c>
      <c r="Q871" s="31">
        <v>0</v>
      </c>
      <c r="R871" s="31">
        <v>0</v>
      </c>
      <c r="S871" s="31">
        <v>0</v>
      </c>
      <c r="T871" s="31">
        <v>0</v>
      </c>
      <c r="U871" s="31">
        <v>0</v>
      </c>
      <c r="V871" s="31">
        <v>0</v>
      </c>
      <c r="W871" s="31">
        <v>0</v>
      </c>
      <c r="X871" s="31">
        <v>0</v>
      </c>
      <c r="Y871" s="31">
        <v>0</v>
      </c>
      <c r="Z871" s="31">
        <v>0</v>
      </c>
      <c r="AA871" s="31">
        <v>0</v>
      </c>
      <c r="AB871" s="31">
        <v>0</v>
      </c>
      <c r="AC871" s="31">
        <f>ROUND(N871*1.5%,2)</f>
        <v>83915.9</v>
      </c>
      <c r="AD871" s="31">
        <v>180000</v>
      </c>
      <c r="AE871" s="31">
        <v>0</v>
      </c>
      <c r="AF871" s="34">
        <v>2021</v>
      </c>
      <c r="AG871" s="34">
        <v>2021</v>
      </c>
      <c r="AH871" s="35">
        <v>2021</v>
      </c>
      <c r="AT871" s="20" t="e">
        <f t="shared" si="340"/>
        <v>#N/A</v>
      </c>
    </row>
    <row r="872" spans="1:46" ht="61.5" x14ac:dyDescent="0.85">
      <c r="B872" s="24" t="s">
        <v>919</v>
      </c>
      <c r="C872" s="24"/>
      <c r="D872" s="31">
        <f t="shared" ref="D872:AE872" si="356">D873</f>
        <v>3274450.4</v>
      </c>
      <c r="E872" s="31">
        <f t="shared" si="356"/>
        <v>0</v>
      </c>
      <c r="F872" s="31">
        <f t="shared" si="356"/>
        <v>0</v>
      </c>
      <c r="G872" s="31">
        <f t="shared" si="356"/>
        <v>0</v>
      </c>
      <c r="H872" s="31">
        <f t="shared" si="356"/>
        <v>0</v>
      </c>
      <c r="I872" s="31">
        <f t="shared" si="356"/>
        <v>0</v>
      </c>
      <c r="J872" s="31">
        <f t="shared" si="356"/>
        <v>0</v>
      </c>
      <c r="K872" s="33">
        <f t="shared" si="356"/>
        <v>0</v>
      </c>
      <c r="L872" s="31">
        <f t="shared" si="356"/>
        <v>0</v>
      </c>
      <c r="M872" s="31">
        <f t="shared" si="356"/>
        <v>609.79999999999995</v>
      </c>
      <c r="N872" s="31">
        <f t="shared" si="356"/>
        <v>3078276.26</v>
      </c>
      <c r="O872" s="31">
        <f t="shared" si="356"/>
        <v>0</v>
      </c>
      <c r="P872" s="31">
        <f t="shared" si="356"/>
        <v>0</v>
      </c>
      <c r="Q872" s="31">
        <f t="shared" si="356"/>
        <v>0</v>
      </c>
      <c r="R872" s="31">
        <f t="shared" si="356"/>
        <v>0</v>
      </c>
      <c r="S872" s="31">
        <f t="shared" si="356"/>
        <v>0</v>
      </c>
      <c r="T872" s="31">
        <f t="shared" si="356"/>
        <v>0</v>
      </c>
      <c r="U872" s="31">
        <f t="shared" si="356"/>
        <v>0</v>
      </c>
      <c r="V872" s="31">
        <f t="shared" si="356"/>
        <v>0</v>
      </c>
      <c r="W872" s="31">
        <f t="shared" si="356"/>
        <v>0</v>
      </c>
      <c r="X872" s="31">
        <f t="shared" si="356"/>
        <v>0</v>
      </c>
      <c r="Y872" s="31">
        <f t="shared" si="356"/>
        <v>0</v>
      </c>
      <c r="Z872" s="31">
        <f t="shared" si="356"/>
        <v>0</v>
      </c>
      <c r="AA872" s="31">
        <f t="shared" si="356"/>
        <v>0</v>
      </c>
      <c r="AB872" s="31">
        <f t="shared" si="356"/>
        <v>0</v>
      </c>
      <c r="AC872" s="31">
        <f t="shared" si="356"/>
        <v>46174.14</v>
      </c>
      <c r="AD872" s="31">
        <f t="shared" si="356"/>
        <v>150000</v>
      </c>
      <c r="AE872" s="31">
        <f t="shared" si="356"/>
        <v>0</v>
      </c>
      <c r="AF872" s="72" t="s">
        <v>794</v>
      </c>
      <c r="AG872" s="72" t="s">
        <v>794</v>
      </c>
      <c r="AH872" s="91" t="s">
        <v>794</v>
      </c>
      <c r="AT872" s="20" t="e">
        <f t="shared" si="340"/>
        <v>#N/A</v>
      </c>
    </row>
    <row r="873" spans="1:46" ht="61.5" x14ac:dyDescent="0.85">
      <c r="A873" s="20">
        <v>1</v>
      </c>
      <c r="B873" s="66">
        <f>SUBTOTAL(103,$A$567:A873)</f>
        <v>272</v>
      </c>
      <c r="C873" s="24" t="s">
        <v>55</v>
      </c>
      <c r="D873" s="31">
        <f t="shared" ref="D873" si="357">E873+F873+G873+H873+I873+J873+L873+N873+P873+R873+T873+U873+V873+W873+X873+Y873+Z873+AA873+AB873+AC873+AD873+AE873</f>
        <v>3274450.4</v>
      </c>
      <c r="E873" s="31">
        <v>0</v>
      </c>
      <c r="F873" s="31">
        <v>0</v>
      </c>
      <c r="G873" s="31">
        <v>0</v>
      </c>
      <c r="H873" s="31">
        <v>0</v>
      </c>
      <c r="I873" s="31">
        <v>0</v>
      </c>
      <c r="J873" s="31">
        <v>0</v>
      </c>
      <c r="K873" s="33">
        <v>0</v>
      </c>
      <c r="L873" s="31">
        <v>0</v>
      </c>
      <c r="M873" s="31">
        <v>609.79999999999995</v>
      </c>
      <c r="N873" s="31">
        <v>3078276.26</v>
      </c>
      <c r="O873" s="31">
        <v>0</v>
      </c>
      <c r="P873" s="31">
        <v>0</v>
      </c>
      <c r="Q873" s="31">
        <v>0</v>
      </c>
      <c r="R873" s="31">
        <v>0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v>0</v>
      </c>
      <c r="Y873" s="31">
        <v>0</v>
      </c>
      <c r="Z873" s="31">
        <v>0</v>
      </c>
      <c r="AA873" s="31">
        <v>0</v>
      </c>
      <c r="AB873" s="31">
        <v>0</v>
      </c>
      <c r="AC873" s="31">
        <f>ROUND(N873*1.5%,2)</f>
        <v>46174.14</v>
      </c>
      <c r="AD873" s="31">
        <v>150000</v>
      </c>
      <c r="AE873" s="31">
        <v>0</v>
      </c>
      <c r="AF873" s="34">
        <v>2021</v>
      </c>
      <c r="AG873" s="34">
        <v>2021</v>
      </c>
      <c r="AH873" s="35">
        <v>2021</v>
      </c>
      <c r="AT873" s="20" t="e">
        <f t="shared" si="340"/>
        <v>#N/A</v>
      </c>
    </row>
    <row r="874" spans="1:46" ht="61.5" x14ac:dyDescent="0.85">
      <c r="B874" s="24" t="s">
        <v>886</v>
      </c>
      <c r="C874" s="24"/>
      <c r="D874" s="31">
        <f>SUM(D875:D877)</f>
        <v>12199052.439999999</v>
      </c>
      <c r="E874" s="31">
        <f t="shared" ref="E874:AE874" si="358">SUM(E875:E877)</f>
        <v>0</v>
      </c>
      <c r="F874" s="31">
        <f t="shared" si="358"/>
        <v>0</v>
      </c>
      <c r="G874" s="31">
        <f t="shared" si="358"/>
        <v>3177624.7</v>
      </c>
      <c r="H874" s="31">
        <f t="shared" si="358"/>
        <v>1177032.5</v>
      </c>
      <c r="I874" s="31">
        <f t="shared" si="358"/>
        <v>0</v>
      </c>
      <c r="J874" s="31">
        <f t="shared" si="358"/>
        <v>0</v>
      </c>
      <c r="K874" s="33">
        <f t="shared" si="358"/>
        <v>0</v>
      </c>
      <c r="L874" s="31">
        <f t="shared" si="358"/>
        <v>0</v>
      </c>
      <c r="M874" s="31">
        <f t="shared" si="358"/>
        <v>1328.6</v>
      </c>
      <c r="N874" s="31">
        <f t="shared" si="358"/>
        <v>7102537.3200000003</v>
      </c>
      <c r="O874" s="31">
        <f t="shared" si="358"/>
        <v>0</v>
      </c>
      <c r="P874" s="31">
        <f t="shared" si="358"/>
        <v>0</v>
      </c>
      <c r="Q874" s="31">
        <f t="shared" si="358"/>
        <v>0</v>
      </c>
      <c r="R874" s="31">
        <f t="shared" si="358"/>
        <v>0</v>
      </c>
      <c r="S874" s="31">
        <f t="shared" si="358"/>
        <v>0</v>
      </c>
      <c r="T874" s="31">
        <f t="shared" si="358"/>
        <v>0</v>
      </c>
      <c r="U874" s="31">
        <f t="shared" si="358"/>
        <v>0</v>
      </c>
      <c r="V874" s="31">
        <f t="shared" si="358"/>
        <v>0</v>
      </c>
      <c r="W874" s="31">
        <f t="shared" si="358"/>
        <v>0</v>
      </c>
      <c r="X874" s="31">
        <f t="shared" si="358"/>
        <v>0</v>
      </c>
      <c r="Y874" s="31">
        <f t="shared" si="358"/>
        <v>0</v>
      </c>
      <c r="Z874" s="31">
        <f t="shared" si="358"/>
        <v>0</v>
      </c>
      <c r="AA874" s="31">
        <f t="shared" si="358"/>
        <v>0</v>
      </c>
      <c r="AB874" s="31">
        <f t="shared" si="358"/>
        <v>0</v>
      </c>
      <c r="AC874" s="31">
        <f t="shared" si="358"/>
        <v>171857.92000000001</v>
      </c>
      <c r="AD874" s="31">
        <f t="shared" si="358"/>
        <v>570000</v>
      </c>
      <c r="AE874" s="31">
        <f t="shared" si="358"/>
        <v>0</v>
      </c>
      <c r="AF874" s="72" t="s">
        <v>794</v>
      </c>
      <c r="AG874" s="72" t="s">
        <v>794</v>
      </c>
      <c r="AH874" s="91" t="s">
        <v>794</v>
      </c>
      <c r="AT874" s="20" t="e">
        <f t="shared" si="340"/>
        <v>#N/A</v>
      </c>
    </row>
    <row r="875" spans="1:46" ht="61.5" x14ac:dyDescent="0.85">
      <c r="A875" s="20">
        <v>1</v>
      </c>
      <c r="B875" s="66">
        <f>SUBTOTAL(103,$A$567:A875)</f>
        <v>273</v>
      </c>
      <c r="C875" s="24" t="s">
        <v>56</v>
      </c>
      <c r="D875" s="31">
        <f t="shared" ref="D875:D876" si="359">E875+F875+G875+H875+I875+J875+L875+N875+P875+R875+T875+U875+V875+W875+X875+Y875+Z875+AA875+AB875+AC875+AD875+AE875</f>
        <v>4719977.0600000005</v>
      </c>
      <c r="E875" s="31">
        <v>0</v>
      </c>
      <c r="F875" s="31">
        <v>0</v>
      </c>
      <c r="G875" s="31">
        <v>3177624.7</v>
      </c>
      <c r="H875" s="31">
        <v>1177032.5</v>
      </c>
      <c r="I875" s="31">
        <v>0</v>
      </c>
      <c r="J875" s="31">
        <v>0</v>
      </c>
      <c r="K875" s="33">
        <v>0</v>
      </c>
      <c r="L875" s="31">
        <v>0</v>
      </c>
      <c r="M875" s="31">
        <v>0</v>
      </c>
      <c r="N875" s="31">
        <v>0</v>
      </c>
      <c r="O875" s="31">
        <v>0</v>
      </c>
      <c r="P875" s="31">
        <v>0</v>
      </c>
      <c r="Q875" s="31">
        <v>0</v>
      </c>
      <c r="R875" s="31">
        <v>0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v>0</v>
      </c>
      <c r="Y875" s="31">
        <v>0</v>
      </c>
      <c r="Z875" s="31">
        <v>0</v>
      </c>
      <c r="AA875" s="31">
        <v>0</v>
      </c>
      <c r="AB875" s="31">
        <v>0</v>
      </c>
      <c r="AC875" s="31">
        <f>ROUND((E875+F875+G875+H875+I875+J875)*1.5%,2)</f>
        <v>65319.86</v>
      </c>
      <c r="AD875" s="31">
        <v>300000</v>
      </c>
      <c r="AE875" s="31">
        <v>0</v>
      </c>
      <c r="AF875" s="34">
        <v>2021</v>
      </c>
      <c r="AG875" s="34">
        <v>2021</v>
      </c>
      <c r="AH875" s="35">
        <v>2021</v>
      </c>
      <c r="AT875" s="20" t="e">
        <f t="shared" si="340"/>
        <v>#N/A</v>
      </c>
    </row>
    <row r="876" spans="1:46" ht="61.5" x14ac:dyDescent="0.85">
      <c r="A876" s="20">
        <v>1</v>
      </c>
      <c r="B876" s="66">
        <f>SUBTOTAL(103,$A$567:A876)</f>
        <v>274</v>
      </c>
      <c r="C876" s="24" t="s">
        <v>46</v>
      </c>
      <c r="D876" s="31">
        <f t="shared" si="359"/>
        <v>3947511.93</v>
      </c>
      <c r="E876" s="31">
        <v>0</v>
      </c>
      <c r="F876" s="31">
        <v>0</v>
      </c>
      <c r="G876" s="31">
        <v>0</v>
      </c>
      <c r="H876" s="31">
        <v>0</v>
      </c>
      <c r="I876" s="31">
        <v>0</v>
      </c>
      <c r="J876" s="31">
        <v>0</v>
      </c>
      <c r="K876" s="33">
        <v>0</v>
      </c>
      <c r="L876" s="31">
        <v>0</v>
      </c>
      <c r="M876" s="31">
        <v>716.7</v>
      </c>
      <c r="N876" s="31">
        <v>3741391.06</v>
      </c>
      <c r="O876" s="31">
        <v>0</v>
      </c>
      <c r="P876" s="31">
        <v>0</v>
      </c>
      <c r="Q876" s="31">
        <v>0</v>
      </c>
      <c r="R876" s="31">
        <v>0</v>
      </c>
      <c r="S876" s="31">
        <v>0</v>
      </c>
      <c r="T876" s="31">
        <v>0</v>
      </c>
      <c r="U876" s="31">
        <v>0</v>
      </c>
      <c r="V876" s="31">
        <v>0</v>
      </c>
      <c r="W876" s="31">
        <v>0</v>
      </c>
      <c r="X876" s="31">
        <v>0</v>
      </c>
      <c r="Y876" s="31">
        <v>0</v>
      </c>
      <c r="Z876" s="31">
        <v>0</v>
      </c>
      <c r="AA876" s="31">
        <v>0</v>
      </c>
      <c r="AB876" s="31">
        <v>0</v>
      </c>
      <c r="AC876" s="31">
        <f>ROUND(N876*1.5%,2)</f>
        <v>56120.87</v>
      </c>
      <c r="AD876" s="31">
        <v>150000</v>
      </c>
      <c r="AE876" s="31">
        <v>0</v>
      </c>
      <c r="AF876" s="34">
        <v>2021</v>
      </c>
      <c r="AG876" s="34">
        <v>2021</v>
      </c>
      <c r="AH876" s="35">
        <v>2021</v>
      </c>
      <c r="AT876" s="20" t="e">
        <f t="shared" si="340"/>
        <v>#N/A</v>
      </c>
    </row>
    <row r="877" spans="1:46" ht="61.5" x14ac:dyDescent="0.85">
      <c r="A877" s="20">
        <v>1</v>
      </c>
      <c r="B877" s="66">
        <f>SUBTOTAL(103,$A$567:A877)</f>
        <v>275</v>
      </c>
      <c r="C877" s="24" t="s">
        <v>1698</v>
      </c>
      <c r="D877" s="31">
        <f>E877+F877+G877+H877+I877+J877+L877+N877+P877+R877+T877+U877+V877+W877+X877+Y877+Z877+AA877+AB877+AC877+AD877+AE877</f>
        <v>3531563.4499999997</v>
      </c>
      <c r="E877" s="31">
        <v>0</v>
      </c>
      <c r="F877" s="31">
        <v>0</v>
      </c>
      <c r="G877" s="31">
        <v>0</v>
      </c>
      <c r="H877" s="31">
        <v>0</v>
      </c>
      <c r="I877" s="31">
        <v>0</v>
      </c>
      <c r="J877" s="31">
        <v>0</v>
      </c>
      <c r="K877" s="33">
        <v>0</v>
      </c>
      <c r="L877" s="31">
        <v>0</v>
      </c>
      <c r="M877" s="31">
        <v>611.9</v>
      </c>
      <c r="N877" s="31">
        <f>3000000+361146.26</f>
        <v>3361146.26</v>
      </c>
      <c r="O877" s="31">
        <v>0</v>
      </c>
      <c r="P877" s="31">
        <v>0</v>
      </c>
      <c r="Q877" s="31">
        <v>0</v>
      </c>
      <c r="R877" s="31">
        <v>0</v>
      </c>
      <c r="S877" s="31">
        <v>0</v>
      </c>
      <c r="T877" s="31">
        <v>0</v>
      </c>
      <c r="U877" s="31">
        <v>0</v>
      </c>
      <c r="V877" s="31">
        <v>0</v>
      </c>
      <c r="W877" s="31">
        <v>0</v>
      </c>
      <c r="X877" s="31">
        <v>0</v>
      </c>
      <c r="Y877" s="31">
        <v>0</v>
      </c>
      <c r="Z877" s="31">
        <v>0</v>
      </c>
      <c r="AA877" s="31">
        <v>0</v>
      </c>
      <c r="AB877" s="31">
        <v>0</v>
      </c>
      <c r="AC877" s="31">
        <f>ROUND(N877*1.5%,2)</f>
        <v>50417.19</v>
      </c>
      <c r="AD877" s="31">
        <v>120000</v>
      </c>
      <c r="AE877" s="31">
        <v>0</v>
      </c>
      <c r="AF877" s="34">
        <v>2021</v>
      </c>
      <c r="AG877" s="34">
        <v>2021</v>
      </c>
      <c r="AH877" s="35">
        <v>2021</v>
      </c>
    </row>
    <row r="878" spans="1:46" ht="61.5" x14ac:dyDescent="0.85">
      <c r="B878" s="24" t="s">
        <v>887</v>
      </c>
      <c r="C878" s="24"/>
      <c r="D878" s="31">
        <f t="shared" ref="D878:AE878" si="360">D879</f>
        <v>7408727.5099999998</v>
      </c>
      <c r="E878" s="31">
        <f t="shared" si="360"/>
        <v>0</v>
      </c>
      <c r="F878" s="31">
        <f t="shared" si="360"/>
        <v>0</v>
      </c>
      <c r="G878" s="31">
        <f t="shared" si="360"/>
        <v>0</v>
      </c>
      <c r="H878" s="31">
        <f t="shared" si="360"/>
        <v>0</v>
      </c>
      <c r="I878" s="31">
        <f t="shared" si="360"/>
        <v>0</v>
      </c>
      <c r="J878" s="31">
        <f t="shared" si="360"/>
        <v>0</v>
      </c>
      <c r="K878" s="33">
        <f t="shared" si="360"/>
        <v>0</v>
      </c>
      <c r="L878" s="31">
        <f t="shared" si="360"/>
        <v>0</v>
      </c>
      <c r="M878" s="31">
        <f t="shared" si="360"/>
        <v>1669.2</v>
      </c>
      <c r="N878" s="31">
        <f t="shared" si="360"/>
        <v>7121899.0199999996</v>
      </c>
      <c r="O878" s="31">
        <f t="shared" si="360"/>
        <v>0</v>
      </c>
      <c r="P878" s="31">
        <f t="shared" si="360"/>
        <v>0</v>
      </c>
      <c r="Q878" s="31">
        <f t="shared" si="360"/>
        <v>0</v>
      </c>
      <c r="R878" s="31">
        <f t="shared" si="360"/>
        <v>0</v>
      </c>
      <c r="S878" s="31">
        <f t="shared" si="360"/>
        <v>0</v>
      </c>
      <c r="T878" s="31">
        <f t="shared" si="360"/>
        <v>0</v>
      </c>
      <c r="U878" s="31">
        <f t="shared" si="360"/>
        <v>0</v>
      </c>
      <c r="V878" s="31">
        <f t="shared" si="360"/>
        <v>0</v>
      </c>
      <c r="W878" s="31">
        <f t="shared" si="360"/>
        <v>0</v>
      </c>
      <c r="X878" s="31">
        <f t="shared" si="360"/>
        <v>0</v>
      </c>
      <c r="Y878" s="31">
        <f t="shared" si="360"/>
        <v>0</v>
      </c>
      <c r="Z878" s="31">
        <f t="shared" si="360"/>
        <v>0</v>
      </c>
      <c r="AA878" s="31">
        <f t="shared" si="360"/>
        <v>0</v>
      </c>
      <c r="AB878" s="31">
        <f t="shared" si="360"/>
        <v>0</v>
      </c>
      <c r="AC878" s="31">
        <f t="shared" si="360"/>
        <v>106828.49</v>
      </c>
      <c r="AD878" s="31">
        <f t="shared" si="360"/>
        <v>180000</v>
      </c>
      <c r="AE878" s="31">
        <f t="shared" si="360"/>
        <v>0</v>
      </c>
      <c r="AF878" s="72" t="s">
        <v>794</v>
      </c>
      <c r="AG878" s="72" t="s">
        <v>794</v>
      </c>
      <c r="AH878" s="91" t="s">
        <v>794</v>
      </c>
      <c r="AT878" s="20" t="e">
        <f t="shared" ref="AT878:AT902" si="361">VLOOKUP(C878,AW:AX,2,FALSE)</f>
        <v>#N/A</v>
      </c>
    </row>
    <row r="879" spans="1:46" ht="61.5" x14ac:dyDescent="0.85">
      <c r="A879" s="20">
        <v>1</v>
      </c>
      <c r="B879" s="66">
        <f>SUBTOTAL(103,$A$567:A879)</f>
        <v>276</v>
      </c>
      <c r="C879" s="24" t="s">
        <v>54</v>
      </c>
      <c r="D879" s="31">
        <f t="shared" ref="D879" si="362">E879+F879+G879+H879+I879+J879+L879+N879+P879+R879+T879+U879+V879+W879+X879+Y879+Z879+AA879+AB879+AC879+AD879+AE879</f>
        <v>7408727.5099999998</v>
      </c>
      <c r="E879" s="31">
        <v>0</v>
      </c>
      <c r="F879" s="31">
        <v>0</v>
      </c>
      <c r="G879" s="31">
        <v>0</v>
      </c>
      <c r="H879" s="31">
        <v>0</v>
      </c>
      <c r="I879" s="31">
        <v>0</v>
      </c>
      <c r="J879" s="31">
        <v>0</v>
      </c>
      <c r="K879" s="33">
        <v>0</v>
      </c>
      <c r="L879" s="31">
        <v>0</v>
      </c>
      <c r="M879" s="31">
        <v>1669.2</v>
      </c>
      <c r="N879" s="31">
        <v>7121899.0199999996</v>
      </c>
      <c r="O879" s="31">
        <v>0</v>
      </c>
      <c r="P879" s="31">
        <v>0</v>
      </c>
      <c r="Q879" s="31">
        <v>0</v>
      </c>
      <c r="R879" s="31">
        <v>0</v>
      </c>
      <c r="S879" s="31">
        <v>0</v>
      </c>
      <c r="T879" s="31">
        <v>0</v>
      </c>
      <c r="U879" s="31">
        <v>0</v>
      </c>
      <c r="V879" s="31">
        <v>0</v>
      </c>
      <c r="W879" s="31">
        <v>0</v>
      </c>
      <c r="X879" s="31">
        <v>0</v>
      </c>
      <c r="Y879" s="31">
        <v>0</v>
      </c>
      <c r="Z879" s="31">
        <v>0</v>
      </c>
      <c r="AA879" s="31">
        <v>0</v>
      </c>
      <c r="AB879" s="31">
        <v>0</v>
      </c>
      <c r="AC879" s="31">
        <f>ROUND(N879*1.5%,2)</f>
        <v>106828.49</v>
      </c>
      <c r="AD879" s="31">
        <v>180000</v>
      </c>
      <c r="AE879" s="31">
        <v>0</v>
      </c>
      <c r="AF879" s="34">
        <v>2021</v>
      </c>
      <c r="AG879" s="34">
        <v>2021</v>
      </c>
      <c r="AH879" s="35">
        <v>2021</v>
      </c>
      <c r="AT879" s="20" t="e">
        <f t="shared" si="361"/>
        <v>#N/A</v>
      </c>
    </row>
    <row r="880" spans="1:46" ht="61.5" x14ac:dyDescent="0.85">
      <c r="B880" s="24" t="s">
        <v>888</v>
      </c>
      <c r="C880" s="24"/>
      <c r="D880" s="31">
        <f t="shared" ref="D880:AE880" si="363">D881</f>
        <v>2311215.4500000002</v>
      </c>
      <c r="E880" s="31">
        <f t="shared" si="363"/>
        <v>0</v>
      </c>
      <c r="F880" s="31">
        <f t="shared" si="363"/>
        <v>0</v>
      </c>
      <c r="G880" s="31">
        <f t="shared" si="363"/>
        <v>0</v>
      </c>
      <c r="H880" s="31">
        <f t="shared" si="363"/>
        <v>0</v>
      </c>
      <c r="I880" s="31">
        <f t="shared" si="363"/>
        <v>0</v>
      </c>
      <c r="J880" s="31">
        <f t="shared" si="363"/>
        <v>0</v>
      </c>
      <c r="K880" s="33">
        <f t="shared" si="363"/>
        <v>0</v>
      </c>
      <c r="L880" s="31">
        <f t="shared" si="363"/>
        <v>0</v>
      </c>
      <c r="M880" s="31">
        <f t="shared" si="363"/>
        <v>444</v>
      </c>
      <c r="N880" s="31">
        <f t="shared" si="363"/>
        <v>2158832.96</v>
      </c>
      <c r="O880" s="31">
        <f t="shared" si="363"/>
        <v>0</v>
      </c>
      <c r="P880" s="31">
        <f t="shared" si="363"/>
        <v>0</v>
      </c>
      <c r="Q880" s="31">
        <f t="shared" si="363"/>
        <v>0</v>
      </c>
      <c r="R880" s="31">
        <f t="shared" si="363"/>
        <v>0</v>
      </c>
      <c r="S880" s="31">
        <f t="shared" si="363"/>
        <v>0</v>
      </c>
      <c r="T880" s="31">
        <f t="shared" si="363"/>
        <v>0</v>
      </c>
      <c r="U880" s="31">
        <f t="shared" si="363"/>
        <v>0</v>
      </c>
      <c r="V880" s="31">
        <f t="shared" si="363"/>
        <v>0</v>
      </c>
      <c r="W880" s="31">
        <f t="shared" si="363"/>
        <v>0</v>
      </c>
      <c r="X880" s="31">
        <f t="shared" si="363"/>
        <v>0</v>
      </c>
      <c r="Y880" s="31">
        <f t="shared" si="363"/>
        <v>0</v>
      </c>
      <c r="Z880" s="31">
        <f t="shared" si="363"/>
        <v>0</v>
      </c>
      <c r="AA880" s="31">
        <f t="shared" si="363"/>
        <v>0</v>
      </c>
      <c r="AB880" s="31">
        <f t="shared" si="363"/>
        <v>0</v>
      </c>
      <c r="AC880" s="31">
        <f t="shared" si="363"/>
        <v>32382.49</v>
      </c>
      <c r="AD880" s="31">
        <f t="shared" si="363"/>
        <v>120000</v>
      </c>
      <c r="AE880" s="31">
        <f t="shared" si="363"/>
        <v>0</v>
      </c>
      <c r="AF880" s="72" t="s">
        <v>794</v>
      </c>
      <c r="AG880" s="72" t="s">
        <v>794</v>
      </c>
      <c r="AH880" s="91" t="s">
        <v>794</v>
      </c>
      <c r="AT880" s="20" t="e">
        <f t="shared" si="361"/>
        <v>#N/A</v>
      </c>
    </row>
    <row r="881" spans="1:46" ht="61.5" x14ac:dyDescent="0.85">
      <c r="A881" s="20">
        <v>1</v>
      </c>
      <c r="B881" s="66">
        <f>SUBTOTAL(103,$A$567:A881)</f>
        <v>277</v>
      </c>
      <c r="C881" s="24" t="s">
        <v>53</v>
      </c>
      <c r="D881" s="31">
        <f t="shared" ref="D881" si="364">E881+F881+G881+H881+I881+J881+L881+N881+P881+R881+T881+U881+V881+W881+X881+Y881+Z881+AA881+AB881+AC881+AD881+AE881</f>
        <v>2311215.4500000002</v>
      </c>
      <c r="E881" s="31">
        <v>0</v>
      </c>
      <c r="F881" s="31">
        <v>0</v>
      </c>
      <c r="G881" s="31">
        <v>0</v>
      </c>
      <c r="H881" s="31">
        <v>0</v>
      </c>
      <c r="I881" s="31">
        <v>0</v>
      </c>
      <c r="J881" s="31">
        <v>0</v>
      </c>
      <c r="K881" s="33">
        <v>0</v>
      </c>
      <c r="L881" s="31">
        <v>0</v>
      </c>
      <c r="M881" s="31">
        <v>444</v>
      </c>
      <c r="N881" s="31">
        <v>2158832.96</v>
      </c>
      <c r="O881" s="31">
        <v>0</v>
      </c>
      <c r="P881" s="31">
        <v>0</v>
      </c>
      <c r="Q881" s="31">
        <v>0</v>
      </c>
      <c r="R881" s="31">
        <v>0</v>
      </c>
      <c r="S881" s="31">
        <v>0</v>
      </c>
      <c r="T881" s="31">
        <v>0</v>
      </c>
      <c r="U881" s="31">
        <v>0</v>
      </c>
      <c r="V881" s="31">
        <v>0</v>
      </c>
      <c r="W881" s="31">
        <v>0</v>
      </c>
      <c r="X881" s="31">
        <v>0</v>
      </c>
      <c r="Y881" s="31">
        <v>0</v>
      </c>
      <c r="Z881" s="31">
        <v>0</v>
      </c>
      <c r="AA881" s="31">
        <v>0</v>
      </c>
      <c r="AB881" s="31">
        <v>0</v>
      </c>
      <c r="AC881" s="31">
        <f>ROUND(N881*1.5%,2)</f>
        <v>32382.49</v>
      </c>
      <c r="AD881" s="31">
        <v>120000</v>
      </c>
      <c r="AE881" s="31">
        <v>0</v>
      </c>
      <c r="AF881" s="34">
        <v>2021</v>
      </c>
      <c r="AG881" s="34">
        <v>2021</v>
      </c>
      <c r="AH881" s="35">
        <v>2021</v>
      </c>
      <c r="AT881" s="20" t="e">
        <f t="shared" si="361"/>
        <v>#N/A</v>
      </c>
    </row>
    <row r="882" spans="1:46" ht="61.5" x14ac:dyDescent="0.85">
      <c r="B882" s="24" t="s">
        <v>889</v>
      </c>
      <c r="C882" s="24"/>
      <c r="D882" s="31">
        <f t="shared" ref="D882:AE882" si="365">SUM(D883:D887)</f>
        <v>16487311.32</v>
      </c>
      <c r="E882" s="31">
        <f t="shared" si="365"/>
        <v>0</v>
      </c>
      <c r="F882" s="31">
        <f t="shared" si="365"/>
        <v>0</v>
      </c>
      <c r="G882" s="31">
        <f t="shared" si="365"/>
        <v>0</v>
      </c>
      <c r="H882" s="31">
        <f t="shared" si="365"/>
        <v>0</v>
      </c>
      <c r="I882" s="31">
        <f t="shared" si="365"/>
        <v>0</v>
      </c>
      <c r="J882" s="31">
        <f t="shared" si="365"/>
        <v>0</v>
      </c>
      <c r="K882" s="33">
        <f t="shared" si="365"/>
        <v>0</v>
      </c>
      <c r="L882" s="31">
        <f t="shared" si="365"/>
        <v>0</v>
      </c>
      <c r="M882" s="31">
        <f t="shared" si="365"/>
        <v>3157.3999999999996</v>
      </c>
      <c r="N882" s="31">
        <f t="shared" si="365"/>
        <v>15504740.23</v>
      </c>
      <c r="O882" s="31">
        <f t="shared" si="365"/>
        <v>0</v>
      </c>
      <c r="P882" s="31">
        <f t="shared" si="365"/>
        <v>0</v>
      </c>
      <c r="Q882" s="31">
        <f t="shared" si="365"/>
        <v>0</v>
      </c>
      <c r="R882" s="31">
        <f t="shared" si="365"/>
        <v>0</v>
      </c>
      <c r="S882" s="31">
        <f t="shared" si="365"/>
        <v>0</v>
      </c>
      <c r="T882" s="31">
        <f t="shared" si="365"/>
        <v>0</v>
      </c>
      <c r="U882" s="31">
        <f t="shared" si="365"/>
        <v>0</v>
      </c>
      <c r="V882" s="31">
        <f t="shared" si="365"/>
        <v>0</v>
      </c>
      <c r="W882" s="31">
        <f t="shared" si="365"/>
        <v>0</v>
      </c>
      <c r="X882" s="31">
        <f t="shared" si="365"/>
        <v>0</v>
      </c>
      <c r="Y882" s="31">
        <f t="shared" si="365"/>
        <v>0</v>
      </c>
      <c r="Z882" s="31">
        <f t="shared" si="365"/>
        <v>0</v>
      </c>
      <c r="AA882" s="31">
        <f t="shared" si="365"/>
        <v>0</v>
      </c>
      <c r="AB882" s="31">
        <f t="shared" si="365"/>
        <v>0</v>
      </c>
      <c r="AC882" s="31">
        <f t="shared" si="365"/>
        <v>232571.09000000003</v>
      </c>
      <c r="AD882" s="31">
        <f t="shared" si="365"/>
        <v>750000</v>
      </c>
      <c r="AE882" s="31">
        <f t="shared" si="365"/>
        <v>0</v>
      </c>
      <c r="AF882" s="72" t="s">
        <v>794</v>
      </c>
      <c r="AG882" s="72" t="s">
        <v>794</v>
      </c>
      <c r="AH882" s="91" t="s">
        <v>794</v>
      </c>
      <c r="AT882" s="20" t="e">
        <f t="shared" si="361"/>
        <v>#N/A</v>
      </c>
    </row>
    <row r="883" spans="1:46" ht="61.5" x14ac:dyDescent="0.85">
      <c r="A883" s="20">
        <v>1</v>
      </c>
      <c r="B883" s="66">
        <f>SUBTOTAL(103,$A$567:A883)</f>
        <v>278</v>
      </c>
      <c r="C883" s="24" t="s">
        <v>60</v>
      </c>
      <c r="D883" s="31">
        <f t="shared" ref="D883:D887" si="366">E883+F883+G883+H883+I883+J883+L883+N883+P883+R883+T883+U883+V883+W883+X883+Y883+Z883+AA883+AB883+AC883+AD883+AE883</f>
        <v>3462053.4</v>
      </c>
      <c r="E883" s="31">
        <v>0</v>
      </c>
      <c r="F883" s="31">
        <v>0</v>
      </c>
      <c r="G883" s="31">
        <v>0</v>
      </c>
      <c r="H883" s="31">
        <v>0</v>
      </c>
      <c r="I883" s="31">
        <v>0</v>
      </c>
      <c r="J883" s="31">
        <v>0</v>
      </c>
      <c r="K883" s="33">
        <v>0</v>
      </c>
      <c r="L883" s="31">
        <v>0</v>
      </c>
      <c r="M883" s="31">
        <v>663</v>
      </c>
      <c r="N883" s="31">
        <v>3263106.8</v>
      </c>
      <c r="O883" s="31">
        <v>0</v>
      </c>
      <c r="P883" s="31">
        <v>0</v>
      </c>
      <c r="Q883" s="31">
        <v>0</v>
      </c>
      <c r="R883" s="31">
        <v>0</v>
      </c>
      <c r="S883" s="31">
        <v>0</v>
      </c>
      <c r="T883" s="31">
        <v>0</v>
      </c>
      <c r="U883" s="31">
        <v>0</v>
      </c>
      <c r="V883" s="31">
        <v>0</v>
      </c>
      <c r="W883" s="31">
        <v>0</v>
      </c>
      <c r="X883" s="31">
        <v>0</v>
      </c>
      <c r="Y883" s="31">
        <v>0</v>
      </c>
      <c r="Z883" s="31">
        <v>0</v>
      </c>
      <c r="AA883" s="31">
        <v>0</v>
      </c>
      <c r="AB883" s="31">
        <v>0</v>
      </c>
      <c r="AC883" s="31">
        <f t="shared" ref="AC883:AC887" si="367">ROUND(N883*1.5%,2)</f>
        <v>48946.6</v>
      </c>
      <c r="AD883" s="31">
        <v>150000</v>
      </c>
      <c r="AE883" s="31">
        <v>0</v>
      </c>
      <c r="AF883" s="34">
        <v>2021</v>
      </c>
      <c r="AG883" s="34">
        <v>2021</v>
      </c>
      <c r="AH883" s="35">
        <v>2021</v>
      </c>
      <c r="AT883" s="20" t="e">
        <f t="shared" si="361"/>
        <v>#N/A</v>
      </c>
    </row>
    <row r="884" spans="1:46" ht="61.5" x14ac:dyDescent="0.85">
      <c r="A884" s="20">
        <v>1</v>
      </c>
      <c r="B884" s="66">
        <f>SUBTOTAL(103,$A$567:A884)</f>
        <v>279</v>
      </c>
      <c r="C884" s="24" t="s">
        <v>61</v>
      </c>
      <c r="D884" s="31">
        <f t="shared" si="366"/>
        <v>3446388</v>
      </c>
      <c r="E884" s="31">
        <v>0</v>
      </c>
      <c r="F884" s="31">
        <v>0</v>
      </c>
      <c r="G884" s="31">
        <v>0</v>
      </c>
      <c r="H884" s="31">
        <v>0</v>
      </c>
      <c r="I884" s="31">
        <v>0</v>
      </c>
      <c r="J884" s="31">
        <v>0</v>
      </c>
      <c r="K884" s="33">
        <v>0</v>
      </c>
      <c r="L884" s="31">
        <v>0</v>
      </c>
      <c r="M884" s="31">
        <v>660</v>
      </c>
      <c r="N884" s="31">
        <v>3247672.91</v>
      </c>
      <c r="O884" s="31">
        <v>0</v>
      </c>
      <c r="P884" s="31">
        <v>0</v>
      </c>
      <c r="Q884" s="31">
        <v>0</v>
      </c>
      <c r="R884" s="31">
        <v>0</v>
      </c>
      <c r="S884" s="31">
        <v>0</v>
      </c>
      <c r="T884" s="31">
        <v>0</v>
      </c>
      <c r="U884" s="31">
        <v>0</v>
      </c>
      <c r="V884" s="31">
        <v>0</v>
      </c>
      <c r="W884" s="31">
        <v>0</v>
      </c>
      <c r="X884" s="31">
        <v>0</v>
      </c>
      <c r="Y884" s="31">
        <v>0</v>
      </c>
      <c r="Z884" s="31">
        <v>0</v>
      </c>
      <c r="AA884" s="31">
        <v>0</v>
      </c>
      <c r="AB884" s="31">
        <v>0</v>
      </c>
      <c r="AC884" s="31">
        <f t="shared" si="367"/>
        <v>48715.09</v>
      </c>
      <c r="AD884" s="31">
        <v>150000</v>
      </c>
      <c r="AE884" s="31">
        <v>0</v>
      </c>
      <c r="AF884" s="34">
        <v>2021</v>
      </c>
      <c r="AG884" s="34">
        <v>2021</v>
      </c>
      <c r="AH884" s="35">
        <v>2021</v>
      </c>
      <c r="AT884" s="20" t="e">
        <f t="shared" si="361"/>
        <v>#N/A</v>
      </c>
    </row>
    <row r="885" spans="1:46" ht="61.5" x14ac:dyDescent="0.85">
      <c r="A885" s="20">
        <v>1</v>
      </c>
      <c r="B885" s="66">
        <f>SUBTOTAL(103,$A$567:A885)</f>
        <v>280</v>
      </c>
      <c r="C885" s="24" t="s">
        <v>59</v>
      </c>
      <c r="D885" s="31">
        <f t="shared" si="366"/>
        <v>3378504.6</v>
      </c>
      <c r="E885" s="31">
        <v>0</v>
      </c>
      <c r="F885" s="31">
        <v>0</v>
      </c>
      <c r="G885" s="31">
        <v>0</v>
      </c>
      <c r="H885" s="31">
        <v>0</v>
      </c>
      <c r="I885" s="31">
        <v>0</v>
      </c>
      <c r="J885" s="31">
        <v>0</v>
      </c>
      <c r="K885" s="33">
        <v>0</v>
      </c>
      <c r="L885" s="31">
        <v>0</v>
      </c>
      <c r="M885" s="31">
        <v>647</v>
      </c>
      <c r="N885" s="31">
        <v>3180792.71</v>
      </c>
      <c r="O885" s="31">
        <v>0</v>
      </c>
      <c r="P885" s="31">
        <v>0</v>
      </c>
      <c r="Q885" s="31">
        <v>0</v>
      </c>
      <c r="R885" s="31">
        <v>0</v>
      </c>
      <c r="S885" s="31">
        <v>0</v>
      </c>
      <c r="T885" s="31">
        <v>0</v>
      </c>
      <c r="U885" s="31">
        <v>0</v>
      </c>
      <c r="V885" s="31">
        <v>0</v>
      </c>
      <c r="W885" s="31">
        <v>0</v>
      </c>
      <c r="X885" s="31">
        <v>0</v>
      </c>
      <c r="Y885" s="31">
        <v>0</v>
      </c>
      <c r="Z885" s="31">
        <v>0</v>
      </c>
      <c r="AA885" s="31">
        <v>0</v>
      </c>
      <c r="AB885" s="31">
        <v>0</v>
      </c>
      <c r="AC885" s="31">
        <f t="shared" si="367"/>
        <v>47711.89</v>
      </c>
      <c r="AD885" s="31">
        <v>150000</v>
      </c>
      <c r="AE885" s="31">
        <v>0</v>
      </c>
      <c r="AF885" s="34">
        <v>2021</v>
      </c>
      <c r="AG885" s="34">
        <v>2021</v>
      </c>
      <c r="AH885" s="35">
        <v>2021</v>
      </c>
      <c r="AT885" s="20" t="e">
        <f t="shared" si="361"/>
        <v>#N/A</v>
      </c>
    </row>
    <row r="886" spans="1:46" ht="61.5" x14ac:dyDescent="0.85">
      <c r="A886" s="20">
        <v>1</v>
      </c>
      <c r="B886" s="66">
        <f>SUBTOTAL(103,$A$567:A886)</f>
        <v>281</v>
      </c>
      <c r="C886" s="24" t="s">
        <v>62</v>
      </c>
      <c r="D886" s="31">
        <f t="shared" si="366"/>
        <v>2799929.1599999997</v>
      </c>
      <c r="E886" s="31">
        <v>0</v>
      </c>
      <c r="F886" s="31">
        <v>0</v>
      </c>
      <c r="G886" s="31">
        <v>0</v>
      </c>
      <c r="H886" s="31">
        <v>0</v>
      </c>
      <c r="I886" s="31">
        <v>0</v>
      </c>
      <c r="J886" s="31">
        <v>0</v>
      </c>
      <c r="K886" s="33">
        <v>0</v>
      </c>
      <c r="L886" s="31">
        <v>0</v>
      </c>
      <c r="M886" s="31">
        <v>536.20000000000005</v>
      </c>
      <c r="N886" s="31">
        <v>2610767.65</v>
      </c>
      <c r="O886" s="31">
        <v>0</v>
      </c>
      <c r="P886" s="31">
        <v>0</v>
      </c>
      <c r="Q886" s="31">
        <v>0</v>
      </c>
      <c r="R886" s="31">
        <v>0</v>
      </c>
      <c r="S886" s="31">
        <v>0</v>
      </c>
      <c r="T886" s="31">
        <v>0</v>
      </c>
      <c r="U886" s="31">
        <v>0</v>
      </c>
      <c r="V886" s="31">
        <v>0</v>
      </c>
      <c r="W886" s="31">
        <v>0</v>
      </c>
      <c r="X886" s="31">
        <v>0</v>
      </c>
      <c r="Y886" s="31">
        <v>0</v>
      </c>
      <c r="Z886" s="31">
        <v>0</v>
      </c>
      <c r="AA886" s="31">
        <v>0</v>
      </c>
      <c r="AB886" s="31">
        <v>0</v>
      </c>
      <c r="AC886" s="31">
        <f t="shared" si="367"/>
        <v>39161.51</v>
      </c>
      <c r="AD886" s="31">
        <v>150000</v>
      </c>
      <c r="AE886" s="31">
        <v>0</v>
      </c>
      <c r="AF886" s="34">
        <v>2021</v>
      </c>
      <c r="AG886" s="34">
        <v>2021</v>
      </c>
      <c r="AH886" s="35">
        <v>2021</v>
      </c>
      <c r="AT886" s="20" t="e">
        <f t="shared" si="361"/>
        <v>#N/A</v>
      </c>
    </row>
    <row r="887" spans="1:46" ht="61.5" x14ac:dyDescent="0.85">
      <c r="A887" s="20">
        <v>1</v>
      </c>
      <c r="B887" s="66">
        <f>SUBTOTAL(103,$A$567:A887)</f>
        <v>282</v>
      </c>
      <c r="C887" s="24" t="s">
        <v>58</v>
      </c>
      <c r="D887" s="31">
        <f t="shared" si="366"/>
        <v>3400436.16</v>
      </c>
      <c r="E887" s="31">
        <v>0</v>
      </c>
      <c r="F887" s="31">
        <v>0</v>
      </c>
      <c r="G887" s="31">
        <v>0</v>
      </c>
      <c r="H887" s="31">
        <v>0</v>
      </c>
      <c r="I887" s="31">
        <v>0</v>
      </c>
      <c r="J887" s="31">
        <v>0</v>
      </c>
      <c r="K887" s="33">
        <v>0</v>
      </c>
      <c r="L887" s="31">
        <v>0</v>
      </c>
      <c r="M887" s="31">
        <v>651.20000000000005</v>
      </c>
      <c r="N887" s="31">
        <v>3202400.16</v>
      </c>
      <c r="O887" s="31">
        <v>0</v>
      </c>
      <c r="P887" s="31">
        <v>0</v>
      </c>
      <c r="Q887" s="31">
        <v>0</v>
      </c>
      <c r="R887" s="31">
        <v>0</v>
      </c>
      <c r="S887" s="31">
        <v>0</v>
      </c>
      <c r="T887" s="31">
        <v>0</v>
      </c>
      <c r="U887" s="31">
        <v>0</v>
      </c>
      <c r="V887" s="31">
        <v>0</v>
      </c>
      <c r="W887" s="31">
        <v>0</v>
      </c>
      <c r="X887" s="31">
        <v>0</v>
      </c>
      <c r="Y887" s="31">
        <v>0</v>
      </c>
      <c r="Z887" s="31">
        <v>0</v>
      </c>
      <c r="AA887" s="31">
        <v>0</v>
      </c>
      <c r="AB887" s="31">
        <v>0</v>
      </c>
      <c r="AC887" s="31">
        <f t="shared" si="367"/>
        <v>48036</v>
      </c>
      <c r="AD887" s="31">
        <v>150000</v>
      </c>
      <c r="AE887" s="31">
        <v>0</v>
      </c>
      <c r="AF887" s="34">
        <v>2021</v>
      </c>
      <c r="AG887" s="34">
        <v>2021</v>
      </c>
      <c r="AH887" s="35">
        <v>2021</v>
      </c>
      <c r="AT887" s="20" t="e">
        <f t="shared" si="361"/>
        <v>#N/A</v>
      </c>
    </row>
    <row r="888" spans="1:46" ht="61.5" x14ac:dyDescent="0.85">
      <c r="B888" s="24" t="s">
        <v>890</v>
      </c>
      <c r="C888" s="117"/>
      <c r="D888" s="31">
        <f t="shared" ref="D888:AE888" si="368">D889+D890</f>
        <v>6032850.6600000001</v>
      </c>
      <c r="E888" s="31">
        <f t="shared" si="368"/>
        <v>0</v>
      </c>
      <c r="F888" s="31">
        <f t="shared" si="368"/>
        <v>0</v>
      </c>
      <c r="G888" s="31">
        <f t="shared" si="368"/>
        <v>0</v>
      </c>
      <c r="H888" s="31">
        <f t="shared" si="368"/>
        <v>0</v>
      </c>
      <c r="I888" s="31">
        <f t="shared" si="368"/>
        <v>0</v>
      </c>
      <c r="J888" s="31">
        <f t="shared" si="368"/>
        <v>0</v>
      </c>
      <c r="K888" s="33">
        <f t="shared" si="368"/>
        <v>0</v>
      </c>
      <c r="L888" s="31">
        <f t="shared" si="368"/>
        <v>0</v>
      </c>
      <c r="M888" s="31">
        <f t="shared" si="368"/>
        <v>1203</v>
      </c>
      <c r="N888" s="31">
        <f t="shared" si="368"/>
        <v>5677685.3799999999</v>
      </c>
      <c r="O888" s="31">
        <f t="shared" si="368"/>
        <v>0</v>
      </c>
      <c r="P888" s="31">
        <f t="shared" si="368"/>
        <v>0</v>
      </c>
      <c r="Q888" s="31">
        <f t="shared" si="368"/>
        <v>0</v>
      </c>
      <c r="R888" s="31">
        <f t="shared" si="368"/>
        <v>0</v>
      </c>
      <c r="S888" s="31">
        <f t="shared" si="368"/>
        <v>0</v>
      </c>
      <c r="T888" s="31">
        <f t="shared" si="368"/>
        <v>0</v>
      </c>
      <c r="U888" s="31">
        <f t="shared" si="368"/>
        <v>0</v>
      </c>
      <c r="V888" s="31">
        <f t="shared" si="368"/>
        <v>0</v>
      </c>
      <c r="W888" s="31">
        <f t="shared" si="368"/>
        <v>0</v>
      </c>
      <c r="X888" s="31">
        <f t="shared" si="368"/>
        <v>0</v>
      </c>
      <c r="Y888" s="31">
        <f t="shared" si="368"/>
        <v>0</v>
      </c>
      <c r="Z888" s="31">
        <f t="shared" si="368"/>
        <v>0</v>
      </c>
      <c r="AA888" s="31">
        <f t="shared" si="368"/>
        <v>0</v>
      </c>
      <c r="AB888" s="31">
        <f t="shared" si="368"/>
        <v>0</v>
      </c>
      <c r="AC888" s="31">
        <f t="shared" si="368"/>
        <v>85165.28</v>
      </c>
      <c r="AD888" s="31">
        <f t="shared" si="368"/>
        <v>270000</v>
      </c>
      <c r="AE888" s="31">
        <f t="shared" si="368"/>
        <v>0</v>
      </c>
      <c r="AF888" s="72" t="s">
        <v>794</v>
      </c>
      <c r="AG888" s="72" t="s">
        <v>794</v>
      </c>
      <c r="AH888" s="91" t="s">
        <v>794</v>
      </c>
      <c r="AT888" s="20" t="e">
        <f t="shared" si="361"/>
        <v>#N/A</v>
      </c>
    </row>
    <row r="889" spans="1:46" ht="61.5" x14ac:dyDescent="0.85">
      <c r="A889" s="20">
        <v>1</v>
      </c>
      <c r="B889" s="66">
        <f>SUBTOTAL(103,$A$567:A889)</f>
        <v>283</v>
      </c>
      <c r="C889" s="24" t="s">
        <v>234</v>
      </c>
      <c r="D889" s="31">
        <f t="shared" ref="D889:D890" si="369">E889+F889+G889+H889+I889+J889+L889+N889+P889+R889+T889+U889+V889+W889+X889+Y889+Z889+AA889+AB889+AC889+AD889+AE889</f>
        <v>4231329.66</v>
      </c>
      <c r="E889" s="31">
        <v>0</v>
      </c>
      <c r="F889" s="31">
        <v>0</v>
      </c>
      <c r="G889" s="31">
        <v>0</v>
      </c>
      <c r="H889" s="31">
        <v>0</v>
      </c>
      <c r="I889" s="31">
        <v>0</v>
      </c>
      <c r="J889" s="31">
        <v>0</v>
      </c>
      <c r="K889" s="33">
        <v>0</v>
      </c>
      <c r="L889" s="31">
        <v>0</v>
      </c>
      <c r="M889" s="31">
        <v>858</v>
      </c>
      <c r="N889" s="31">
        <v>4021014.44</v>
      </c>
      <c r="O889" s="31">
        <v>0</v>
      </c>
      <c r="P889" s="31">
        <v>0</v>
      </c>
      <c r="Q889" s="31">
        <v>0</v>
      </c>
      <c r="R889" s="31">
        <v>0</v>
      </c>
      <c r="S889" s="31">
        <v>0</v>
      </c>
      <c r="T889" s="31">
        <v>0</v>
      </c>
      <c r="U889" s="31">
        <v>0</v>
      </c>
      <c r="V889" s="31">
        <v>0</v>
      </c>
      <c r="W889" s="31">
        <v>0</v>
      </c>
      <c r="X889" s="31">
        <v>0</v>
      </c>
      <c r="Y889" s="31">
        <v>0</v>
      </c>
      <c r="Z889" s="31">
        <v>0</v>
      </c>
      <c r="AA889" s="31">
        <v>0</v>
      </c>
      <c r="AB889" s="31">
        <v>0</v>
      </c>
      <c r="AC889" s="31">
        <f t="shared" ref="AC889:AC890" si="370">ROUND(N889*1.5%,2)</f>
        <v>60315.22</v>
      </c>
      <c r="AD889" s="31">
        <v>150000</v>
      </c>
      <c r="AE889" s="31">
        <v>0</v>
      </c>
      <c r="AF889" s="34">
        <v>2021</v>
      </c>
      <c r="AG889" s="34">
        <v>2021</v>
      </c>
      <c r="AH889" s="35">
        <v>2021</v>
      </c>
      <c r="AT889" s="20" t="e">
        <f t="shared" si="361"/>
        <v>#N/A</v>
      </c>
    </row>
    <row r="890" spans="1:46" ht="61.5" x14ac:dyDescent="0.85">
      <c r="A890" s="20">
        <v>1</v>
      </c>
      <c r="B890" s="66">
        <f>SUBTOTAL(103,$A$567:A890)</f>
        <v>284</v>
      </c>
      <c r="C890" s="24" t="s">
        <v>233</v>
      </c>
      <c r="D890" s="31">
        <f t="shared" si="369"/>
        <v>1801521</v>
      </c>
      <c r="E890" s="31">
        <v>0</v>
      </c>
      <c r="F890" s="31">
        <v>0</v>
      </c>
      <c r="G890" s="31">
        <v>0</v>
      </c>
      <c r="H890" s="31">
        <v>0</v>
      </c>
      <c r="I890" s="31">
        <v>0</v>
      </c>
      <c r="J890" s="31">
        <v>0</v>
      </c>
      <c r="K890" s="33">
        <v>0</v>
      </c>
      <c r="L890" s="31">
        <v>0</v>
      </c>
      <c r="M890" s="31">
        <v>345</v>
      </c>
      <c r="N890" s="31">
        <v>1656670.94</v>
      </c>
      <c r="O890" s="31">
        <v>0</v>
      </c>
      <c r="P890" s="31">
        <v>0</v>
      </c>
      <c r="Q890" s="31">
        <v>0</v>
      </c>
      <c r="R890" s="31">
        <v>0</v>
      </c>
      <c r="S890" s="31">
        <v>0</v>
      </c>
      <c r="T890" s="31">
        <v>0</v>
      </c>
      <c r="U890" s="31">
        <v>0</v>
      </c>
      <c r="V890" s="31">
        <v>0</v>
      </c>
      <c r="W890" s="31">
        <v>0</v>
      </c>
      <c r="X890" s="31">
        <v>0</v>
      </c>
      <c r="Y890" s="31">
        <v>0</v>
      </c>
      <c r="Z890" s="31">
        <v>0</v>
      </c>
      <c r="AA890" s="31">
        <v>0</v>
      </c>
      <c r="AB890" s="31">
        <v>0</v>
      </c>
      <c r="AC890" s="31">
        <f t="shared" si="370"/>
        <v>24850.06</v>
      </c>
      <c r="AD890" s="31">
        <v>120000</v>
      </c>
      <c r="AE890" s="31">
        <v>0</v>
      </c>
      <c r="AF890" s="34">
        <v>2021</v>
      </c>
      <c r="AG890" s="34">
        <v>2021</v>
      </c>
      <c r="AH890" s="35">
        <v>2021</v>
      </c>
      <c r="AT890" s="20" t="e">
        <f t="shared" si="361"/>
        <v>#N/A</v>
      </c>
    </row>
    <row r="891" spans="1:46" ht="61.5" x14ac:dyDescent="0.85">
      <c r="B891" s="24" t="s">
        <v>892</v>
      </c>
      <c r="C891" s="117"/>
      <c r="D891" s="31">
        <f t="shared" ref="D891:AE891" si="371">D892</f>
        <v>1799918.22</v>
      </c>
      <c r="E891" s="31">
        <f t="shared" si="371"/>
        <v>0</v>
      </c>
      <c r="F891" s="31">
        <f t="shared" si="371"/>
        <v>0</v>
      </c>
      <c r="G891" s="31">
        <f t="shared" si="371"/>
        <v>0</v>
      </c>
      <c r="H891" s="31">
        <f t="shared" si="371"/>
        <v>0</v>
      </c>
      <c r="I891" s="31">
        <f t="shared" si="371"/>
        <v>367412.22</v>
      </c>
      <c r="J891" s="31">
        <f t="shared" si="371"/>
        <v>0</v>
      </c>
      <c r="K891" s="33">
        <f t="shared" si="371"/>
        <v>0</v>
      </c>
      <c r="L891" s="31">
        <f t="shared" si="371"/>
        <v>0</v>
      </c>
      <c r="M891" s="31">
        <f t="shared" si="371"/>
        <v>300</v>
      </c>
      <c r="N891" s="31">
        <f t="shared" si="371"/>
        <v>1287679.6200000001</v>
      </c>
      <c r="O891" s="31">
        <f t="shared" si="371"/>
        <v>0</v>
      </c>
      <c r="P891" s="31">
        <f t="shared" si="371"/>
        <v>0</v>
      </c>
      <c r="Q891" s="31">
        <f t="shared" si="371"/>
        <v>0</v>
      </c>
      <c r="R891" s="31">
        <f t="shared" si="371"/>
        <v>0</v>
      </c>
      <c r="S891" s="31">
        <f t="shared" si="371"/>
        <v>0</v>
      </c>
      <c r="T891" s="31">
        <f t="shared" si="371"/>
        <v>0</v>
      </c>
      <c r="U891" s="31">
        <f t="shared" si="371"/>
        <v>0</v>
      </c>
      <c r="V891" s="31">
        <f t="shared" si="371"/>
        <v>0</v>
      </c>
      <c r="W891" s="31">
        <f t="shared" si="371"/>
        <v>0</v>
      </c>
      <c r="X891" s="31">
        <f t="shared" si="371"/>
        <v>0</v>
      </c>
      <c r="Y891" s="31">
        <f t="shared" si="371"/>
        <v>0</v>
      </c>
      <c r="Z891" s="31">
        <f t="shared" si="371"/>
        <v>0</v>
      </c>
      <c r="AA891" s="31">
        <f t="shared" si="371"/>
        <v>0</v>
      </c>
      <c r="AB891" s="31">
        <f t="shared" si="371"/>
        <v>0</v>
      </c>
      <c r="AC891" s="31">
        <f t="shared" si="371"/>
        <v>24826.38</v>
      </c>
      <c r="AD891" s="31">
        <f t="shared" si="371"/>
        <v>120000</v>
      </c>
      <c r="AE891" s="31">
        <f t="shared" si="371"/>
        <v>0</v>
      </c>
      <c r="AF891" s="72" t="s">
        <v>794</v>
      </c>
      <c r="AG891" s="72" t="s">
        <v>794</v>
      </c>
      <c r="AH891" s="91" t="s">
        <v>794</v>
      </c>
      <c r="AT891" s="20" t="e">
        <f t="shared" si="361"/>
        <v>#N/A</v>
      </c>
    </row>
    <row r="892" spans="1:46" ht="61.5" x14ac:dyDescent="0.85">
      <c r="A892" s="20">
        <v>1</v>
      </c>
      <c r="B892" s="66">
        <f>SUBTOTAL(103,$A$567:A892)</f>
        <v>285</v>
      </c>
      <c r="C892" s="24" t="s">
        <v>151</v>
      </c>
      <c r="D892" s="31">
        <f t="shared" ref="D892" si="372">E892+F892+G892+H892+I892+J892+L892+N892+P892+R892+T892+U892+V892+W892+X892+Y892+Z892+AA892+AB892+AC892+AD892+AE892</f>
        <v>1799918.22</v>
      </c>
      <c r="E892" s="31">
        <v>0</v>
      </c>
      <c r="F892" s="31">
        <v>0</v>
      </c>
      <c r="G892" s="31">
        <v>0</v>
      </c>
      <c r="H892" s="31">
        <v>0</v>
      </c>
      <c r="I892" s="31">
        <v>367412.22</v>
      </c>
      <c r="J892" s="31">
        <v>0</v>
      </c>
      <c r="K892" s="33">
        <v>0</v>
      </c>
      <c r="L892" s="31">
        <v>0</v>
      </c>
      <c r="M892" s="31">
        <v>300</v>
      </c>
      <c r="N892" s="31">
        <v>1287679.6200000001</v>
      </c>
      <c r="O892" s="31">
        <v>0</v>
      </c>
      <c r="P892" s="31">
        <v>0</v>
      </c>
      <c r="Q892" s="31">
        <v>0</v>
      </c>
      <c r="R892" s="31">
        <v>0</v>
      </c>
      <c r="S892" s="31">
        <v>0</v>
      </c>
      <c r="T892" s="31">
        <v>0</v>
      </c>
      <c r="U892" s="31">
        <v>0</v>
      </c>
      <c r="V892" s="31">
        <v>0</v>
      </c>
      <c r="W892" s="31">
        <v>0</v>
      </c>
      <c r="X892" s="31">
        <v>0</v>
      </c>
      <c r="Y892" s="31">
        <v>0</v>
      </c>
      <c r="Z892" s="31">
        <v>0</v>
      </c>
      <c r="AA892" s="31">
        <v>0</v>
      </c>
      <c r="AB892" s="31">
        <v>0</v>
      </c>
      <c r="AC892" s="31">
        <f>ROUND((N892+I892)*1.5%,2)</f>
        <v>24826.38</v>
      </c>
      <c r="AD892" s="31">
        <v>120000</v>
      </c>
      <c r="AE892" s="31">
        <v>0</v>
      </c>
      <c r="AF892" s="34">
        <v>2021</v>
      </c>
      <c r="AG892" s="34">
        <v>2021</v>
      </c>
      <c r="AH892" s="35">
        <v>2021</v>
      </c>
      <c r="AT892" s="20" t="e">
        <f t="shared" si="361"/>
        <v>#N/A</v>
      </c>
    </row>
    <row r="893" spans="1:46" ht="61.5" x14ac:dyDescent="0.85">
      <c r="B893" s="24" t="s">
        <v>920</v>
      </c>
      <c r="C893" s="24"/>
      <c r="D893" s="31">
        <f t="shared" ref="D893:AE893" si="373">D894</f>
        <v>3974620.0799999996</v>
      </c>
      <c r="E893" s="31">
        <f t="shared" si="373"/>
        <v>0</v>
      </c>
      <c r="F893" s="31">
        <f t="shared" si="373"/>
        <v>0</v>
      </c>
      <c r="G893" s="31">
        <f t="shared" si="373"/>
        <v>0</v>
      </c>
      <c r="H893" s="31">
        <f t="shared" si="373"/>
        <v>0</v>
      </c>
      <c r="I893" s="31">
        <f t="shared" si="373"/>
        <v>0</v>
      </c>
      <c r="J893" s="31">
        <f t="shared" si="373"/>
        <v>0</v>
      </c>
      <c r="K893" s="33">
        <f t="shared" si="373"/>
        <v>0</v>
      </c>
      <c r="L893" s="31">
        <f t="shared" si="373"/>
        <v>0</v>
      </c>
      <c r="M893" s="31">
        <f t="shared" si="373"/>
        <v>660.00388180300001</v>
      </c>
      <c r="N893" s="31">
        <f t="shared" si="373"/>
        <v>3768098.5999999996</v>
      </c>
      <c r="O893" s="31">
        <f t="shared" si="373"/>
        <v>0</v>
      </c>
      <c r="P893" s="31">
        <f t="shared" si="373"/>
        <v>0</v>
      </c>
      <c r="Q893" s="31">
        <f t="shared" si="373"/>
        <v>0</v>
      </c>
      <c r="R893" s="31">
        <f t="shared" si="373"/>
        <v>0</v>
      </c>
      <c r="S893" s="31">
        <f t="shared" si="373"/>
        <v>0</v>
      </c>
      <c r="T893" s="31">
        <f t="shared" si="373"/>
        <v>0</v>
      </c>
      <c r="U893" s="31">
        <f t="shared" si="373"/>
        <v>0</v>
      </c>
      <c r="V893" s="31">
        <f t="shared" si="373"/>
        <v>0</v>
      </c>
      <c r="W893" s="31">
        <f t="shared" si="373"/>
        <v>0</v>
      </c>
      <c r="X893" s="31">
        <f t="shared" si="373"/>
        <v>0</v>
      </c>
      <c r="Y893" s="31">
        <f t="shared" si="373"/>
        <v>0</v>
      </c>
      <c r="Z893" s="31">
        <f t="shared" si="373"/>
        <v>0</v>
      </c>
      <c r="AA893" s="31">
        <f t="shared" si="373"/>
        <v>0</v>
      </c>
      <c r="AB893" s="31">
        <f t="shared" si="373"/>
        <v>0</v>
      </c>
      <c r="AC893" s="31">
        <f t="shared" si="373"/>
        <v>56521.48</v>
      </c>
      <c r="AD893" s="31">
        <f t="shared" si="373"/>
        <v>150000</v>
      </c>
      <c r="AE893" s="31">
        <f t="shared" si="373"/>
        <v>0</v>
      </c>
      <c r="AF893" s="72" t="s">
        <v>794</v>
      </c>
      <c r="AG893" s="72" t="s">
        <v>794</v>
      </c>
      <c r="AH893" s="91" t="s">
        <v>794</v>
      </c>
      <c r="AT893" s="20" t="e">
        <f t="shared" si="361"/>
        <v>#N/A</v>
      </c>
    </row>
    <row r="894" spans="1:46" ht="61.5" x14ac:dyDescent="0.85">
      <c r="A894" s="20">
        <v>1</v>
      </c>
      <c r="B894" s="66">
        <f>SUBTOTAL(103,$A$567:A894)</f>
        <v>286</v>
      </c>
      <c r="C894" s="24" t="s">
        <v>152</v>
      </c>
      <c r="D894" s="31">
        <f t="shared" ref="D894" si="374">E894+F894+G894+H894+I894+J894+L894+N894+P894+R894+T894+U894+V894+W894+X894+Y894+Z894+AA894+AB894+AC894+AD894+AE894</f>
        <v>3974620.0799999996</v>
      </c>
      <c r="E894" s="31">
        <v>0</v>
      </c>
      <c r="F894" s="31">
        <v>0</v>
      </c>
      <c r="G894" s="31">
        <v>0</v>
      </c>
      <c r="H894" s="31">
        <v>0</v>
      </c>
      <c r="I894" s="31">
        <v>0</v>
      </c>
      <c r="J894" s="31">
        <v>0</v>
      </c>
      <c r="K894" s="33">
        <v>0</v>
      </c>
      <c r="L894" s="31">
        <v>0</v>
      </c>
      <c r="M894" s="31">
        <v>660.00388180300001</v>
      </c>
      <c r="N894" s="31">
        <f>3247692.88+520405.72</f>
        <v>3768098.5999999996</v>
      </c>
      <c r="O894" s="31">
        <v>0</v>
      </c>
      <c r="P894" s="31">
        <v>0</v>
      </c>
      <c r="Q894" s="31">
        <v>0</v>
      </c>
      <c r="R894" s="31">
        <v>0</v>
      </c>
      <c r="S894" s="31">
        <v>0</v>
      </c>
      <c r="T894" s="31">
        <v>0</v>
      </c>
      <c r="U894" s="31">
        <v>0</v>
      </c>
      <c r="V894" s="31">
        <v>0</v>
      </c>
      <c r="W894" s="31">
        <v>0</v>
      </c>
      <c r="X894" s="31">
        <v>0</v>
      </c>
      <c r="Y894" s="31">
        <v>0</v>
      </c>
      <c r="Z894" s="31">
        <v>0</v>
      </c>
      <c r="AA894" s="31">
        <v>0</v>
      </c>
      <c r="AB894" s="31">
        <v>0</v>
      </c>
      <c r="AC894" s="31">
        <f>ROUND(N894*1.5%,2)</f>
        <v>56521.48</v>
      </c>
      <c r="AD894" s="31">
        <v>150000</v>
      </c>
      <c r="AE894" s="31">
        <v>0</v>
      </c>
      <c r="AF894" s="34">
        <v>2021</v>
      </c>
      <c r="AG894" s="34">
        <v>2021</v>
      </c>
      <c r="AH894" s="35">
        <v>2021</v>
      </c>
      <c r="AT894" s="20" t="e">
        <f t="shared" si="361"/>
        <v>#N/A</v>
      </c>
    </row>
    <row r="895" spans="1:46" ht="61.5" x14ac:dyDescent="0.85">
      <c r="B895" s="24" t="s">
        <v>921</v>
      </c>
      <c r="C895" s="24"/>
      <c r="D895" s="31">
        <f t="shared" ref="D895:AE895" si="375">D896</f>
        <v>2957808</v>
      </c>
      <c r="E895" s="31">
        <f t="shared" si="375"/>
        <v>0</v>
      </c>
      <c r="F895" s="31">
        <f t="shared" si="375"/>
        <v>0</v>
      </c>
      <c r="G895" s="31">
        <f t="shared" si="375"/>
        <v>0</v>
      </c>
      <c r="H895" s="31">
        <f t="shared" si="375"/>
        <v>0</v>
      </c>
      <c r="I895" s="31">
        <f t="shared" si="375"/>
        <v>0</v>
      </c>
      <c r="J895" s="31">
        <f t="shared" si="375"/>
        <v>0</v>
      </c>
      <c r="K895" s="33">
        <f t="shared" si="375"/>
        <v>0</v>
      </c>
      <c r="L895" s="31">
        <f t="shared" si="375"/>
        <v>0</v>
      </c>
      <c r="M895" s="31">
        <f t="shared" si="375"/>
        <v>600</v>
      </c>
      <c r="N895" s="31">
        <f t="shared" si="375"/>
        <v>2766313.3</v>
      </c>
      <c r="O895" s="31">
        <f t="shared" si="375"/>
        <v>0</v>
      </c>
      <c r="P895" s="31">
        <f t="shared" si="375"/>
        <v>0</v>
      </c>
      <c r="Q895" s="31">
        <f t="shared" si="375"/>
        <v>0</v>
      </c>
      <c r="R895" s="31">
        <f t="shared" si="375"/>
        <v>0</v>
      </c>
      <c r="S895" s="31">
        <f t="shared" si="375"/>
        <v>0</v>
      </c>
      <c r="T895" s="31">
        <f t="shared" si="375"/>
        <v>0</v>
      </c>
      <c r="U895" s="31">
        <f t="shared" si="375"/>
        <v>0</v>
      </c>
      <c r="V895" s="31">
        <f t="shared" si="375"/>
        <v>0</v>
      </c>
      <c r="W895" s="31">
        <f t="shared" si="375"/>
        <v>0</v>
      </c>
      <c r="X895" s="31">
        <f t="shared" si="375"/>
        <v>0</v>
      </c>
      <c r="Y895" s="31">
        <f t="shared" si="375"/>
        <v>0</v>
      </c>
      <c r="Z895" s="31">
        <f t="shared" si="375"/>
        <v>0</v>
      </c>
      <c r="AA895" s="31">
        <f t="shared" si="375"/>
        <v>0</v>
      </c>
      <c r="AB895" s="31">
        <f t="shared" si="375"/>
        <v>0</v>
      </c>
      <c r="AC895" s="31">
        <f t="shared" si="375"/>
        <v>41494.699999999997</v>
      </c>
      <c r="AD895" s="31">
        <f t="shared" si="375"/>
        <v>150000</v>
      </c>
      <c r="AE895" s="31">
        <f t="shared" si="375"/>
        <v>0</v>
      </c>
      <c r="AF895" s="72" t="s">
        <v>794</v>
      </c>
      <c r="AG895" s="72" t="s">
        <v>794</v>
      </c>
      <c r="AH895" s="91" t="s">
        <v>794</v>
      </c>
      <c r="AT895" s="20" t="e">
        <f t="shared" si="361"/>
        <v>#N/A</v>
      </c>
    </row>
    <row r="896" spans="1:46" ht="61.5" x14ac:dyDescent="0.85">
      <c r="A896" s="20">
        <v>1</v>
      </c>
      <c r="B896" s="66">
        <f>SUBTOTAL(103,$A$567:A896)</f>
        <v>287</v>
      </c>
      <c r="C896" s="24" t="s">
        <v>157</v>
      </c>
      <c r="D896" s="31">
        <f t="shared" ref="D896" si="376">E896+F896+G896+H896+I896+J896+L896+N896+P896+R896+T896+U896+V896+W896+X896+Y896+Z896+AA896+AB896+AC896+AD896+AE896</f>
        <v>2957808</v>
      </c>
      <c r="E896" s="31">
        <v>0</v>
      </c>
      <c r="F896" s="31">
        <v>0</v>
      </c>
      <c r="G896" s="31">
        <v>0</v>
      </c>
      <c r="H896" s="31">
        <v>0</v>
      </c>
      <c r="I896" s="31">
        <v>0</v>
      </c>
      <c r="J896" s="31">
        <v>0</v>
      </c>
      <c r="K896" s="33">
        <v>0</v>
      </c>
      <c r="L896" s="31">
        <v>0</v>
      </c>
      <c r="M896" s="31">
        <v>600</v>
      </c>
      <c r="N896" s="31">
        <v>2766313.3</v>
      </c>
      <c r="O896" s="31">
        <v>0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  <c r="V896" s="31">
        <v>0</v>
      </c>
      <c r="W896" s="31">
        <v>0</v>
      </c>
      <c r="X896" s="31">
        <v>0</v>
      </c>
      <c r="Y896" s="31">
        <v>0</v>
      </c>
      <c r="Z896" s="31">
        <v>0</v>
      </c>
      <c r="AA896" s="31">
        <v>0</v>
      </c>
      <c r="AB896" s="31">
        <v>0</v>
      </c>
      <c r="AC896" s="31">
        <f>ROUND(N896*1.5%,2)</f>
        <v>41494.699999999997</v>
      </c>
      <c r="AD896" s="31">
        <v>150000</v>
      </c>
      <c r="AE896" s="31">
        <v>0</v>
      </c>
      <c r="AF896" s="34">
        <v>2021</v>
      </c>
      <c r="AG896" s="34">
        <v>2021</v>
      </c>
      <c r="AH896" s="35">
        <v>2021</v>
      </c>
      <c r="AT896" s="20" t="e">
        <f t="shared" si="361"/>
        <v>#N/A</v>
      </c>
    </row>
    <row r="897" spans="1:80" ht="61.5" x14ac:dyDescent="0.85">
      <c r="B897" s="24" t="s">
        <v>894</v>
      </c>
      <c r="C897" s="24"/>
      <c r="D897" s="31">
        <f t="shared" ref="D897:AE897" si="377">D898</f>
        <v>4651054.3499999996</v>
      </c>
      <c r="E897" s="31">
        <f t="shared" si="377"/>
        <v>0</v>
      </c>
      <c r="F897" s="31">
        <f t="shared" si="377"/>
        <v>0</v>
      </c>
      <c r="G897" s="31">
        <f t="shared" si="377"/>
        <v>0</v>
      </c>
      <c r="H897" s="31">
        <f t="shared" si="377"/>
        <v>0</v>
      </c>
      <c r="I897" s="31">
        <f t="shared" si="377"/>
        <v>0</v>
      </c>
      <c r="J897" s="31">
        <f t="shared" si="377"/>
        <v>0</v>
      </c>
      <c r="K897" s="33">
        <f t="shared" si="377"/>
        <v>0</v>
      </c>
      <c r="L897" s="31">
        <f t="shared" si="377"/>
        <v>0</v>
      </c>
      <c r="M897" s="31">
        <f t="shared" si="377"/>
        <v>785</v>
      </c>
      <c r="N897" s="31">
        <f t="shared" si="377"/>
        <v>4434536.3099999996</v>
      </c>
      <c r="O897" s="31">
        <f t="shared" si="377"/>
        <v>0</v>
      </c>
      <c r="P897" s="31">
        <f t="shared" si="377"/>
        <v>0</v>
      </c>
      <c r="Q897" s="31">
        <f t="shared" si="377"/>
        <v>0</v>
      </c>
      <c r="R897" s="31">
        <f t="shared" si="377"/>
        <v>0</v>
      </c>
      <c r="S897" s="31">
        <f t="shared" si="377"/>
        <v>0</v>
      </c>
      <c r="T897" s="31">
        <f t="shared" si="377"/>
        <v>0</v>
      </c>
      <c r="U897" s="31">
        <f t="shared" si="377"/>
        <v>0</v>
      </c>
      <c r="V897" s="31">
        <f t="shared" si="377"/>
        <v>0</v>
      </c>
      <c r="W897" s="31">
        <f t="shared" si="377"/>
        <v>0</v>
      </c>
      <c r="X897" s="31">
        <f t="shared" si="377"/>
        <v>0</v>
      </c>
      <c r="Y897" s="31">
        <f t="shared" si="377"/>
        <v>0</v>
      </c>
      <c r="Z897" s="31">
        <f t="shared" si="377"/>
        <v>0</v>
      </c>
      <c r="AA897" s="31">
        <f t="shared" si="377"/>
        <v>0</v>
      </c>
      <c r="AB897" s="31">
        <f t="shared" si="377"/>
        <v>0</v>
      </c>
      <c r="AC897" s="31">
        <f t="shared" si="377"/>
        <v>66518.039999999994</v>
      </c>
      <c r="AD897" s="31">
        <f t="shared" si="377"/>
        <v>150000</v>
      </c>
      <c r="AE897" s="31">
        <f t="shared" si="377"/>
        <v>0</v>
      </c>
      <c r="AF897" s="72" t="s">
        <v>794</v>
      </c>
      <c r="AG897" s="72" t="s">
        <v>794</v>
      </c>
      <c r="AH897" s="91" t="s">
        <v>794</v>
      </c>
      <c r="AT897" s="20" t="e">
        <f t="shared" si="361"/>
        <v>#N/A</v>
      </c>
    </row>
    <row r="898" spans="1:80" ht="61.5" x14ac:dyDescent="0.85">
      <c r="A898" s="20">
        <v>1</v>
      </c>
      <c r="B898" s="66">
        <f>SUBTOTAL(103,$A$567:A898)</f>
        <v>288</v>
      </c>
      <c r="C898" s="24" t="s">
        <v>156</v>
      </c>
      <c r="D898" s="31">
        <f t="shared" ref="D898" si="378">E898+F898+G898+H898+I898+J898+L898+N898+P898+R898+T898+U898+V898+W898+X898+Y898+Z898+AA898+AB898+AC898+AD898+AE898</f>
        <v>4651054.3499999996</v>
      </c>
      <c r="E898" s="31">
        <v>0</v>
      </c>
      <c r="F898" s="31">
        <v>0</v>
      </c>
      <c r="G898" s="31">
        <v>0</v>
      </c>
      <c r="H898" s="31">
        <v>0</v>
      </c>
      <c r="I898" s="31">
        <v>0</v>
      </c>
      <c r="J898" s="31">
        <v>0</v>
      </c>
      <c r="K898" s="33">
        <v>0</v>
      </c>
      <c r="L898" s="31">
        <v>0</v>
      </c>
      <c r="M898" s="31">
        <v>785</v>
      </c>
      <c r="N898" s="31">
        <v>4434536.3099999996</v>
      </c>
      <c r="O898" s="31">
        <v>0</v>
      </c>
      <c r="P898" s="31">
        <v>0</v>
      </c>
      <c r="Q898" s="31">
        <v>0</v>
      </c>
      <c r="R898" s="31">
        <v>0</v>
      </c>
      <c r="S898" s="31">
        <v>0</v>
      </c>
      <c r="T898" s="31">
        <v>0</v>
      </c>
      <c r="U898" s="31">
        <v>0</v>
      </c>
      <c r="V898" s="31">
        <v>0</v>
      </c>
      <c r="W898" s="31">
        <v>0</v>
      </c>
      <c r="X898" s="31">
        <v>0</v>
      </c>
      <c r="Y898" s="31">
        <v>0</v>
      </c>
      <c r="Z898" s="31">
        <v>0</v>
      </c>
      <c r="AA898" s="31">
        <v>0</v>
      </c>
      <c r="AB898" s="31">
        <v>0</v>
      </c>
      <c r="AC898" s="31">
        <f>ROUND(N898*1.5%,2)</f>
        <v>66518.039999999994</v>
      </c>
      <c r="AD898" s="31">
        <v>150000</v>
      </c>
      <c r="AE898" s="31">
        <v>0</v>
      </c>
      <c r="AF898" s="34">
        <v>2021</v>
      </c>
      <c r="AG898" s="34">
        <v>2021</v>
      </c>
      <c r="AH898" s="35">
        <v>2021</v>
      </c>
      <c r="AT898" s="20" t="e">
        <f t="shared" si="361"/>
        <v>#N/A</v>
      </c>
    </row>
    <row r="899" spans="1:80" ht="61.5" x14ac:dyDescent="0.85">
      <c r="B899" s="24" t="s">
        <v>895</v>
      </c>
      <c r="C899" s="24"/>
      <c r="D899" s="31">
        <f>D900</f>
        <v>3145116.58</v>
      </c>
      <c r="E899" s="31">
        <f t="shared" ref="E899:AE899" si="379">E900</f>
        <v>0</v>
      </c>
      <c r="F899" s="31">
        <f t="shared" si="379"/>
        <v>0</v>
      </c>
      <c r="G899" s="31">
        <f t="shared" si="379"/>
        <v>0</v>
      </c>
      <c r="H899" s="31">
        <f t="shared" si="379"/>
        <v>0</v>
      </c>
      <c r="I899" s="31">
        <f t="shared" si="379"/>
        <v>0</v>
      </c>
      <c r="J899" s="31">
        <f t="shared" si="379"/>
        <v>0</v>
      </c>
      <c r="K899" s="33">
        <f t="shared" si="379"/>
        <v>0</v>
      </c>
      <c r="L899" s="31">
        <f t="shared" si="379"/>
        <v>0</v>
      </c>
      <c r="M899" s="31">
        <f t="shared" si="379"/>
        <v>602.30499999999995</v>
      </c>
      <c r="N899" s="31">
        <f t="shared" si="379"/>
        <v>2950853.77</v>
      </c>
      <c r="O899" s="31">
        <f t="shared" si="379"/>
        <v>0</v>
      </c>
      <c r="P899" s="31">
        <f t="shared" si="379"/>
        <v>0</v>
      </c>
      <c r="Q899" s="31">
        <f t="shared" si="379"/>
        <v>0</v>
      </c>
      <c r="R899" s="31">
        <f t="shared" si="379"/>
        <v>0</v>
      </c>
      <c r="S899" s="31">
        <f t="shared" si="379"/>
        <v>0</v>
      </c>
      <c r="T899" s="31">
        <f t="shared" si="379"/>
        <v>0</v>
      </c>
      <c r="U899" s="31">
        <f t="shared" si="379"/>
        <v>0</v>
      </c>
      <c r="V899" s="31">
        <f t="shared" si="379"/>
        <v>0</v>
      </c>
      <c r="W899" s="31">
        <f t="shared" si="379"/>
        <v>0</v>
      </c>
      <c r="X899" s="31">
        <f t="shared" si="379"/>
        <v>0</v>
      </c>
      <c r="Y899" s="31">
        <f t="shared" si="379"/>
        <v>0</v>
      </c>
      <c r="Z899" s="31">
        <f t="shared" si="379"/>
        <v>0</v>
      </c>
      <c r="AA899" s="31">
        <f t="shared" si="379"/>
        <v>0</v>
      </c>
      <c r="AB899" s="31">
        <f t="shared" si="379"/>
        <v>0</v>
      </c>
      <c r="AC899" s="31">
        <f t="shared" si="379"/>
        <v>44262.81</v>
      </c>
      <c r="AD899" s="31">
        <f t="shared" si="379"/>
        <v>150000</v>
      </c>
      <c r="AE899" s="31">
        <f t="shared" si="379"/>
        <v>0</v>
      </c>
      <c r="AF899" s="72" t="s">
        <v>794</v>
      </c>
      <c r="AG899" s="72" t="s">
        <v>794</v>
      </c>
      <c r="AH899" s="91" t="s">
        <v>794</v>
      </c>
      <c r="AT899" s="20" t="e">
        <f t="shared" si="361"/>
        <v>#N/A</v>
      </c>
      <c r="BZ899" s="31">
        <v>15298671.6</v>
      </c>
      <c r="CA899" s="31"/>
      <c r="CB899" s="31">
        <f>BZ899-D899</f>
        <v>12153555.02</v>
      </c>
    </row>
    <row r="900" spans="1:80" ht="61.5" x14ac:dyDescent="0.85">
      <c r="A900" s="20">
        <v>1</v>
      </c>
      <c r="B900" s="66">
        <f>SUBTOTAL(103,$A$567:A900)</f>
        <v>289</v>
      </c>
      <c r="C900" s="24" t="s">
        <v>155</v>
      </c>
      <c r="D900" s="31">
        <f t="shared" ref="D900" si="380">E900+F900+G900+H900+I900+J900+L900+N900+P900+R900+T900+U900+V900+W900+X900+Y900+Z900+AA900+AB900+AC900+AD900+AE900</f>
        <v>3145116.58</v>
      </c>
      <c r="E900" s="31">
        <v>0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3">
        <v>0</v>
      </c>
      <c r="L900" s="31">
        <v>0</v>
      </c>
      <c r="M900" s="31">
        <v>602.30499999999995</v>
      </c>
      <c r="N900" s="31">
        <v>2950853.77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  <c r="V900" s="31">
        <v>0</v>
      </c>
      <c r="W900" s="31">
        <v>0</v>
      </c>
      <c r="X900" s="31">
        <v>0</v>
      </c>
      <c r="Y900" s="31">
        <v>0</v>
      </c>
      <c r="Z900" s="31">
        <v>0</v>
      </c>
      <c r="AA900" s="31">
        <v>0</v>
      </c>
      <c r="AB900" s="31">
        <v>0</v>
      </c>
      <c r="AC900" s="31">
        <f t="shared" ref="AC900" si="381">ROUND(N900*1.5%,2)</f>
        <v>44262.81</v>
      </c>
      <c r="AD900" s="31">
        <v>150000</v>
      </c>
      <c r="AE900" s="31">
        <v>0</v>
      </c>
      <c r="AF900" s="34">
        <v>2021</v>
      </c>
      <c r="AG900" s="34">
        <v>2021</v>
      </c>
      <c r="AH900" s="35">
        <v>2021</v>
      </c>
      <c r="AT900" s="20" t="e">
        <f t="shared" si="361"/>
        <v>#N/A</v>
      </c>
    </row>
    <row r="901" spans="1:80" ht="61.5" x14ac:dyDescent="0.85">
      <c r="B901" s="24" t="s">
        <v>896</v>
      </c>
      <c r="C901" s="24"/>
      <c r="D901" s="31">
        <f>D902+D903+D904</f>
        <v>13767321.040000001</v>
      </c>
      <c r="E901" s="31">
        <f t="shared" ref="E901:AE901" si="382">E902+E903+E904</f>
        <v>0</v>
      </c>
      <c r="F901" s="31">
        <f t="shared" si="382"/>
        <v>0</v>
      </c>
      <c r="G901" s="31">
        <f t="shared" si="382"/>
        <v>0</v>
      </c>
      <c r="H901" s="31">
        <f t="shared" si="382"/>
        <v>464292.62</v>
      </c>
      <c r="I901" s="31">
        <f t="shared" si="382"/>
        <v>0</v>
      </c>
      <c r="J901" s="31">
        <f t="shared" si="382"/>
        <v>0</v>
      </c>
      <c r="K901" s="33">
        <f t="shared" si="382"/>
        <v>0</v>
      </c>
      <c r="L901" s="31">
        <f t="shared" si="382"/>
        <v>0</v>
      </c>
      <c r="M901" s="31">
        <f t="shared" si="382"/>
        <v>2643.6499999999996</v>
      </c>
      <c r="N901" s="31">
        <f t="shared" si="382"/>
        <v>12675925.15</v>
      </c>
      <c r="O901" s="31">
        <f t="shared" si="382"/>
        <v>0</v>
      </c>
      <c r="P901" s="31">
        <f t="shared" si="382"/>
        <v>0</v>
      </c>
      <c r="Q901" s="31">
        <f t="shared" si="382"/>
        <v>0</v>
      </c>
      <c r="R901" s="31">
        <f t="shared" si="382"/>
        <v>0</v>
      </c>
      <c r="S901" s="31">
        <f t="shared" si="382"/>
        <v>0</v>
      </c>
      <c r="T901" s="31">
        <f t="shared" si="382"/>
        <v>0</v>
      </c>
      <c r="U901" s="31">
        <f t="shared" si="382"/>
        <v>0</v>
      </c>
      <c r="V901" s="31">
        <f t="shared" si="382"/>
        <v>0</v>
      </c>
      <c r="W901" s="31">
        <f t="shared" si="382"/>
        <v>0</v>
      </c>
      <c r="X901" s="31">
        <f t="shared" si="382"/>
        <v>0</v>
      </c>
      <c r="Y901" s="31">
        <f t="shared" si="382"/>
        <v>0</v>
      </c>
      <c r="Z901" s="31">
        <f t="shared" si="382"/>
        <v>0</v>
      </c>
      <c r="AA901" s="31">
        <f t="shared" si="382"/>
        <v>0</v>
      </c>
      <c r="AB901" s="31">
        <f t="shared" si="382"/>
        <v>0</v>
      </c>
      <c r="AC901" s="31">
        <f t="shared" si="382"/>
        <v>197103.27000000002</v>
      </c>
      <c r="AD901" s="31">
        <f t="shared" si="382"/>
        <v>430000</v>
      </c>
      <c r="AE901" s="31">
        <f t="shared" si="382"/>
        <v>0</v>
      </c>
      <c r="AF901" s="72" t="s">
        <v>794</v>
      </c>
      <c r="AG901" s="72" t="s">
        <v>794</v>
      </c>
      <c r="AH901" s="91" t="s">
        <v>794</v>
      </c>
      <c r="AT901" s="20" t="e">
        <f t="shared" si="361"/>
        <v>#N/A</v>
      </c>
    </row>
    <row r="902" spans="1:80" ht="61.5" x14ac:dyDescent="0.85">
      <c r="A902" s="20">
        <v>1</v>
      </c>
      <c r="B902" s="66">
        <f>SUBTOTAL(103,$A$567:A902)</f>
        <v>290</v>
      </c>
      <c r="C902" s="24" t="s">
        <v>148</v>
      </c>
      <c r="D902" s="31">
        <f t="shared" ref="D902:D904" si="383">E902+F902+G902+H902+I902+J902+L902+N902+P902+R902+T902+U902+V902+W902+X902+Y902+Z902+AA902+AB902+AC902+AD902+AE902</f>
        <v>6391288.3800000008</v>
      </c>
      <c r="E902" s="31">
        <v>0</v>
      </c>
      <c r="F902" s="31">
        <v>0</v>
      </c>
      <c r="G902" s="31">
        <v>0</v>
      </c>
      <c r="H902" s="31">
        <v>0</v>
      </c>
      <c r="I902" s="31">
        <v>0</v>
      </c>
      <c r="J902" s="31">
        <v>0</v>
      </c>
      <c r="K902" s="33">
        <v>0</v>
      </c>
      <c r="L902" s="31">
        <v>0</v>
      </c>
      <c r="M902" s="31">
        <v>1101.8</v>
      </c>
      <c r="N902" s="31">
        <v>6119495.9400000004</v>
      </c>
      <c r="O902" s="31">
        <v>0</v>
      </c>
      <c r="P902" s="31">
        <v>0</v>
      </c>
      <c r="Q902" s="31">
        <v>0</v>
      </c>
      <c r="R902" s="31">
        <v>0</v>
      </c>
      <c r="S902" s="31">
        <v>0</v>
      </c>
      <c r="T902" s="31">
        <v>0</v>
      </c>
      <c r="U902" s="31">
        <v>0</v>
      </c>
      <c r="V902" s="31">
        <v>0</v>
      </c>
      <c r="W902" s="31">
        <v>0</v>
      </c>
      <c r="X902" s="31">
        <v>0</v>
      </c>
      <c r="Y902" s="31">
        <v>0</v>
      </c>
      <c r="Z902" s="31">
        <v>0</v>
      </c>
      <c r="AA902" s="31">
        <v>0</v>
      </c>
      <c r="AB902" s="31">
        <v>0</v>
      </c>
      <c r="AC902" s="31">
        <f t="shared" ref="AC902:AC903" si="384">ROUND(N902*1.5%,2)</f>
        <v>91792.44</v>
      </c>
      <c r="AD902" s="31">
        <v>180000</v>
      </c>
      <c r="AE902" s="31">
        <v>0</v>
      </c>
      <c r="AF902" s="34">
        <v>2021</v>
      </c>
      <c r="AG902" s="34">
        <v>2021</v>
      </c>
      <c r="AH902" s="35">
        <v>2021</v>
      </c>
      <c r="AT902" s="20" t="e">
        <f t="shared" si="361"/>
        <v>#N/A</v>
      </c>
    </row>
    <row r="903" spans="1:80" ht="61.5" x14ac:dyDescent="0.85">
      <c r="A903" s="20">
        <v>1</v>
      </c>
      <c r="B903" s="66">
        <f>SUBTOTAL(103,$A$567:A903)</f>
        <v>291</v>
      </c>
      <c r="C903" s="24" t="s">
        <v>160</v>
      </c>
      <c r="D903" s="31">
        <f t="shared" si="383"/>
        <v>6834775.6500000004</v>
      </c>
      <c r="E903" s="31">
        <v>0</v>
      </c>
      <c r="F903" s="31">
        <v>0</v>
      </c>
      <c r="G903" s="31">
        <v>0</v>
      </c>
      <c r="H903" s="31">
        <v>0</v>
      </c>
      <c r="I903" s="31">
        <v>0</v>
      </c>
      <c r="J903" s="31">
        <v>0</v>
      </c>
      <c r="K903" s="33">
        <v>0</v>
      </c>
      <c r="L903" s="31">
        <v>0</v>
      </c>
      <c r="M903" s="31">
        <v>1541.85</v>
      </c>
      <c r="N903" s="31">
        <v>6556429.21</v>
      </c>
      <c r="O903" s="31">
        <v>0</v>
      </c>
      <c r="P903" s="31">
        <v>0</v>
      </c>
      <c r="Q903" s="31">
        <v>0</v>
      </c>
      <c r="R903" s="31">
        <v>0</v>
      </c>
      <c r="S903" s="31">
        <v>0</v>
      </c>
      <c r="T903" s="31">
        <v>0</v>
      </c>
      <c r="U903" s="31">
        <v>0</v>
      </c>
      <c r="V903" s="31">
        <v>0</v>
      </c>
      <c r="W903" s="31">
        <v>0</v>
      </c>
      <c r="X903" s="31">
        <v>0</v>
      </c>
      <c r="Y903" s="31">
        <v>0</v>
      </c>
      <c r="Z903" s="31">
        <v>0</v>
      </c>
      <c r="AA903" s="31">
        <v>0</v>
      </c>
      <c r="AB903" s="31">
        <v>0</v>
      </c>
      <c r="AC903" s="31">
        <f t="shared" si="384"/>
        <v>98346.44</v>
      </c>
      <c r="AD903" s="31">
        <v>180000</v>
      </c>
      <c r="AE903" s="31">
        <v>0</v>
      </c>
      <c r="AF903" s="34">
        <v>2021</v>
      </c>
      <c r="AG903" s="34">
        <v>2021</v>
      </c>
      <c r="AH903" s="35">
        <v>2021</v>
      </c>
      <c r="AT903" s="20" t="e">
        <f>VLOOKUP(C903,AW$903:AX$903,2,FALSE)</f>
        <v>#N/A</v>
      </c>
    </row>
    <row r="904" spans="1:80" ht="61.5" x14ac:dyDescent="0.85">
      <c r="A904" s="20">
        <v>1</v>
      </c>
      <c r="B904" s="66">
        <f>SUBTOTAL(103,$A$567:A904)</f>
        <v>292</v>
      </c>
      <c r="C904" s="24" t="s">
        <v>150</v>
      </c>
      <c r="D904" s="31">
        <f t="shared" si="383"/>
        <v>541257.01</v>
      </c>
      <c r="E904" s="31">
        <v>0</v>
      </c>
      <c r="F904" s="31">
        <v>0</v>
      </c>
      <c r="G904" s="31">
        <v>0</v>
      </c>
      <c r="H904" s="31">
        <v>464292.62</v>
      </c>
      <c r="I904" s="31">
        <v>0</v>
      </c>
      <c r="J904" s="31">
        <v>0</v>
      </c>
      <c r="K904" s="33">
        <v>0</v>
      </c>
      <c r="L904" s="31">
        <v>0</v>
      </c>
      <c r="M904" s="31">
        <v>0</v>
      </c>
      <c r="N904" s="31">
        <v>0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v>0</v>
      </c>
      <c r="Y904" s="31">
        <v>0</v>
      </c>
      <c r="Z904" s="31">
        <v>0</v>
      </c>
      <c r="AA904" s="31">
        <v>0</v>
      </c>
      <c r="AB904" s="31">
        <v>0</v>
      </c>
      <c r="AC904" s="31">
        <f>ROUND((E904+F904+G904+H904+I904+J904)*1.5%,2)</f>
        <v>6964.39</v>
      </c>
      <c r="AD904" s="31">
        <v>70000</v>
      </c>
      <c r="AE904" s="31">
        <v>0</v>
      </c>
      <c r="AF904" s="34">
        <v>2021</v>
      </c>
      <c r="AG904" s="34">
        <v>2021</v>
      </c>
      <c r="AH904" s="35">
        <v>2021</v>
      </c>
      <c r="AT904" s="20" t="e">
        <f t="shared" ref="AT904:AT935" si="385">VLOOKUP(C904,AW:AX,2,FALSE)</f>
        <v>#N/A</v>
      </c>
    </row>
    <row r="905" spans="1:80" ht="61.5" x14ac:dyDescent="0.85">
      <c r="B905" s="24" t="s">
        <v>897</v>
      </c>
      <c r="C905" s="117"/>
      <c r="D905" s="31">
        <f>D906+D907</f>
        <v>9023270.3999999985</v>
      </c>
      <c r="E905" s="31">
        <f t="shared" ref="E905:AE905" si="386">E906+E907</f>
        <v>0</v>
      </c>
      <c r="F905" s="31">
        <f t="shared" si="386"/>
        <v>0</v>
      </c>
      <c r="G905" s="31">
        <f t="shared" si="386"/>
        <v>0</v>
      </c>
      <c r="H905" s="31">
        <f t="shared" si="386"/>
        <v>0</v>
      </c>
      <c r="I905" s="31">
        <f t="shared" si="386"/>
        <v>0</v>
      </c>
      <c r="J905" s="31">
        <f t="shared" si="386"/>
        <v>0</v>
      </c>
      <c r="K905" s="33">
        <f t="shared" si="386"/>
        <v>0</v>
      </c>
      <c r="L905" s="31">
        <f t="shared" si="386"/>
        <v>0</v>
      </c>
      <c r="M905" s="31">
        <f t="shared" si="386"/>
        <v>1728</v>
      </c>
      <c r="N905" s="31">
        <f t="shared" si="386"/>
        <v>8594355.0800000001</v>
      </c>
      <c r="O905" s="31">
        <f t="shared" si="386"/>
        <v>0</v>
      </c>
      <c r="P905" s="31">
        <f t="shared" si="386"/>
        <v>0</v>
      </c>
      <c r="Q905" s="31">
        <f t="shared" si="386"/>
        <v>0</v>
      </c>
      <c r="R905" s="31">
        <f t="shared" si="386"/>
        <v>0</v>
      </c>
      <c r="S905" s="31">
        <f t="shared" si="386"/>
        <v>0</v>
      </c>
      <c r="T905" s="31">
        <f t="shared" si="386"/>
        <v>0</v>
      </c>
      <c r="U905" s="31">
        <f t="shared" si="386"/>
        <v>0</v>
      </c>
      <c r="V905" s="31">
        <f t="shared" si="386"/>
        <v>0</v>
      </c>
      <c r="W905" s="31">
        <f t="shared" si="386"/>
        <v>0</v>
      </c>
      <c r="X905" s="31">
        <f t="shared" si="386"/>
        <v>0</v>
      </c>
      <c r="Y905" s="31">
        <f t="shared" si="386"/>
        <v>0</v>
      </c>
      <c r="Z905" s="31">
        <f t="shared" si="386"/>
        <v>0</v>
      </c>
      <c r="AA905" s="31">
        <f t="shared" si="386"/>
        <v>0</v>
      </c>
      <c r="AB905" s="31">
        <f t="shared" si="386"/>
        <v>0</v>
      </c>
      <c r="AC905" s="31">
        <f t="shared" si="386"/>
        <v>128915.32</v>
      </c>
      <c r="AD905" s="31">
        <f t="shared" si="386"/>
        <v>300000</v>
      </c>
      <c r="AE905" s="31">
        <f t="shared" si="386"/>
        <v>0</v>
      </c>
      <c r="AF905" s="72" t="s">
        <v>794</v>
      </c>
      <c r="AG905" s="72" t="s">
        <v>794</v>
      </c>
      <c r="AH905" s="91" t="s">
        <v>794</v>
      </c>
      <c r="AT905" s="20" t="e">
        <f t="shared" si="385"/>
        <v>#N/A</v>
      </c>
    </row>
    <row r="906" spans="1:80" ht="61.5" x14ac:dyDescent="0.85">
      <c r="A906" s="20">
        <v>1</v>
      </c>
      <c r="B906" s="66">
        <f>SUBTOTAL(103,$A$567:A906)</f>
        <v>293</v>
      </c>
      <c r="C906" s="24" t="s">
        <v>97</v>
      </c>
      <c r="D906" s="31">
        <f t="shared" ref="D906:D907" si="387">E906+F906+G906+H906+I906+J906+L906+N906+P906+R906+T906+U906+V906+W906+X906+Y906+Z906+AA906+AB906+AC906+AD906+AE906</f>
        <v>4020786</v>
      </c>
      <c r="E906" s="31">
        <v>0</v>
      </c>
      <c r="F906" s="31">
        <v>0</v>
      </c>
      <c r="G906" s="31">
        <v>0</v>
      </c>
      <c r="H906" s="31">
        <v>0</v>
      </c>
      <c r="I906" s="31">
        <v>0</v>
      </c>
      <c r="J906" s="31">
        <v>0</v>
      </c>
      <c r="K906" s="33">
        <v>0</v>
      </c>
      <c r="L906" s="31">
        <v>0</v>
      </c>
      <c r="M906" s="31">
        <v>770</v>
      </c>
      <c r="N906" s="31">
        <v>3813582.27</v>
      </c>
      <c r="O906" s="31">
        <v>0</v>
      </c>
      <c r="P906" s="31">
        <v>0</v>
      </c>
      <c r="Q906" s="31">
        <v>0</v>
      </c>
      <c r="R906" s="31">
        <v>0</v>
      </c>
      <c r="S906" s="31">
        <v>0</v>
      </c>
      <c r="T906" s="31">
        <v>0</v>
      </c>
      <c r="U906" s="31">
        <v>0</v>
      </c>
      <c r="V906" s="31">
        <v>0</v>
      </c>
      <c r="W906" s="31">
        <v>0</v>
      </c>
      <c r="X906" s="31">
        <v>0</v>
      </c>
      <c r="Y906" s="31">
        <v>0</v>
      </c>
      <c r="Z906" s="31">
        <v>0</v>
      </c>
      <c r="AA906" s="31">
        <v>0</v>
      </c>
      <c r="AB906" s="31">
        <v>0</v>
      </c>
      <c r="AC906" s="31">
        <f t="shared" ref="AC906:AC907" si="388">ROUND(N906*1.5%,2)</f>
        <v>57203.73</v>
      </c>
      <c r="AD906" s="31">
        <v>150000</v>
      </c>
      <c r="AE906" s="31">
        <v>0</v>
      </c>
      <c r="AF906" s="34">
        <v>2021</v>
      </c>
      <c r="AG906" s="34">
        <v>2021</v>
      </c>
      <c r="AH906" s="35">
        <v>2021</v>
      </c>
      <c r="AT906" s="20" t="e">
        <f t="shared" si="385"/>
        <v>#N/A</v>
      </c>
    </row>
    <row r="907" spans="1:80" ht="61.5" x14ac:dyDescent="0.85">
      <c r="A907" s="20">
        <v>1</v>
      </c>
      <c r="B907" s="66">
        <f>SUBTOTAL(103,$A$567:A907)</f>
        <v>294</v>
      </c>
      <c r="C907" s="24" t="s">
        <v>96</v>
      </c>
      <c r="D907" s="31">
        <f t="shared" si="387"/>
        <v>5002484.3999999994</v>
      </c>
      <c r="E907" s="31">
        <v>0</v>
      </c>
      <c r="F907" s="31">
        <v>0</v>
      </c>
      <c r="G907" s="31">
        <v>0</v>
      </c>
      <c r="H907" s="31">
        <v>0</v>
      </c>
      <c r="I907" s="31">
        <v>0</v>
      </c>
      <c r="J907" s="31">
        <v>0</v>
      </c>
      <c r="K907" s="33">
        <v>0</v>
      </c>
      <c r="L907" s="31">
        <v>0</v>
      </c>
      <c r="M907" s="31">
        <v>958</v>
      </c>
      <c r="N907" s="31">
        <v>4780772.8099999996</v>
      </c>
      <c r="O907" s="31">
        <v>0</v>
      </c>
      <c r="P907" s="31">
        <v>0</v>
      </c>
      <c r="Q907" s="31">
        <v>0</v>
      </c>
      <c r="R907" s="31">
        <v>0</v>
      </c>
      <c r="S907" s="31">
        <v>0</v>
      </c>
      <c r="T907" s="31">
        <v>0</v>
      </c>
      <c r="U907" s="31">
        <v>0</v>
      </c>
      <c r="V907" s="31">
        <v>0</v>
      </c>
      <c r="W907" s="31">
        <v>0</v>
      </c>
      <c r="X907" s="31">
        <v>0</v>
      </c>
      <c r="Y907" s="31">
        <v>0</v>
      </c>
      <c r="Z907" s="31">
        <v>0</v>
      </c>
      <c r="AA907" s="31">
        <v>0</v>
      </c>
      <c r="AB907" s="31">
        <v>0</v>
      </c>
      <c r="AC907" s="31">
        <f t="shared" si="388"/>
        <v>71711.59</v>
      </c>
      <c r="AD907" s="31">
        <v>150000</v>
      </c>
      <c r="AE907" s="31">
        <v>0</v>
      </c>
      <c r="AF907" s="34">
        <v>2021</v>
      </c>
      <c r="AG907" s="34">
        <v>2021</v>
      </c>
      <c r="AH907" s="35">
        <v>2021</v>
      </c>
      <c r="AT907" s="20" t="e">
        <f t="shared" si="385"/>
        <v>#N/A</v>
      </c>
    </row>
    <row r="908" spans="1:80" ht="61.5" x14ac:dyDescent="0.85">
      <c r="B908" s="24" t="s">
        <v>898</v>
      </c>
      <c r="C908" s="24"/>
      <c r="D908" s="31">
        <f>D909</f>
        <v>3080862</v>
      </c>
      <c r="E908" s="31">
        <f t="shared" ref="E908:AE908" si="389">E909</f>
        <v>0</v>
      </c>
      <c r="F908" s="31">
        <f t="shared" si="389"/>
        <v>0</v>
      </c>
      <c r="G908" s="31">
        <f t="shared" si="389"/>
        <v>0</v>
      </c>
      <c r="H908" s="31">
        <f t="shared" si="389"/>
        <v>0</v>
      </c>
      <c r="I908" s="31">
        <f t="shared" si="389"/>
        <v>0</v>
      </c>
      <c r="J908" s="31">
        <f t="shared" si="389"/>
        <v>0</v>
      </c>
      <c r="K908" s="33">
        <f t="shared" si="389"/>
        <v>0</v>
      </c>
      <c r="L908" s="31">
        <f t="shared" si="389"/>
        <v>0</v>
      </c>
      <c r="M908" s="31">
        <f t="shared" si="389"/>
        <v>590</v>
      </c>
      <c r="N908" s="31">
        <f t="shared" si="389"/>
        <v>2887548.77</v>
      </c>
      <c r="O908" s="31">
        <f t="shared" si="389"/>
        <v>0</v>
      </c>
      <c r="P908" s="31">
        <f t="shared" si="389"/>
        <v>0</v>
      </c>
      <c r="Q908" s="31">
        <f t="shared" si="389"/>
        <v>0</v>
      </c>
      <c r="R908" s="31">
        <f t="shared" si="389"/>
        <v>0</v>
      </c>
      <c r="S908" s="31">
        <f t="shared" si="389"/>
        <v>0</v>
      </c>
      <c r="T908" s="31">
        <f t="shared" si="389"/>
        <v>0</v>
      </c>
      <c r="U908" s="31">
        <f t="shared" si="389"/>
        <v>0</v>
      </c>
      <c r="V908" s="31">
        <f t="shared" si="389"/>
        <v>0</v>
      </c>
      <c r="W908" s="31">
        <f t="shared" si="389"/>
        <v>0</v>
      </c>
      <c r="X908" s="31">
        <f t="shared" si="389"/>
        <v>0</v>
      </c>
      <c r="Y908" s="31">
        <f t="shared" si="389"/>
        <v>0</v>
      </c>
      <c r="Z908" s="31">
        <f t="shared" si="389"/>
        <v>0</v>
      </c>
      <c r="AA908" s="31">
        <f t="shared" si="389"/>
        <v>0</v>
      </c>
      <c r="AB908" s="31">
        <f t="shared" si="389"/>
        <v>0</v>
      </c>
      <c r="AC908" s="31">
        <f t="shared" si="389"/>
        <v>43313.23</v>
      </c>
      <c r="AD908" s="31">
        <f t="shared" si="389"/>
        <v>150000</v>
      </c>
      <c r="AE908" s="31">
        <f t="shared" si="389"/>
        <v>0</v>
      </c>
      <c r="AF908" s="72" t="s">
        <v>794</v>
      </c>
      <c r="AG908" s="72" t="s">
        <v>794</v>
      </c>
      <c r="AH908" s="91" t="s">
        <v>794</v>
      </c>
      <c r="AT908" s="20" t="e">
        <f t="shared" si="385"/>
        <v>#N/A</v>
      </c>
    </row>
    <row r="909" spans="1:80" ht="61.5" x14ac:dyDescent="0.85">
      <c r="A909" s="20">
        <v>1</v>
      </c>
      <c r="B909" s="66">
        <f>SUBTOTAL(103,$A$567:A909)</f>
        <v>295</v>
      </c>
      <c r="C909" s="24" t="s">
        <v>98</v>
      </c>
      <c r="D909" s="31">
        <f t="shared" ref="D909" si="390">E909+F909+G909+H909+I909+J909+L909+N909+P909+R909+T909+U909+V909+W909+X909+Y909+Z909+AA909+AB909+AC909+AD909+AE909</f>
        <v>3080862</v>
      </c>
      <c r="E909" s="31">
        <v>0</v>
      </c>
      <c r="F909" s="31">
        <v>0</v>
      </c>
      <c r="G909" s="31">
        <v>0</v>
      </c>
      <c r="H909" s="31">
        <v>0</v>
      </c>
      <c r="I909" s="31">
        <v>0</v>
      </c>
      <c r="J909" s="31">
        <v>0</v>
      </c>
      <c r="K909" s="33">
        <v>0</v>
      </c>
      <c r="L909" s="31">
        <v>0</v>
      </c>
      <c r="M909" s="31">
        <v>590</v>
      </c>
      <c r="N909" s="31">
        <v>2887548.77</v>
      </c>
      <c r="O909" s="31">
        <v>0</v>
      </c>
      <c r="P909" s="31">
        <v>0</v>
      </c>
      <c r="Q909" s="31">
        <v>0</v>
      </c>
      <c r="R909" s="31">
        <v>0</v>
      </c>
      <c r="S909" s="31">
        <v>0</v>
      </c>
      <c r="T909" s="31">
        <v>0</v>
      </c>
      <c r="U909" s="31">
        <v>0</v>
      </c>
      <c r="V909" s="31">
        <v>0</v>
      </c>
      <c r="W909" s="31">
        <v>0</v>
      </c>
      <c r="X909" s="31">
        <v>0</v>
      </c>
      <c r="Y909" s="31">
        <v>0</v>
      </c>
      <c r="Z909" s="31">
        <v>0</v>
      </c>
      <c r="AA909" s="31">
        <v>0</v>
      </c>
      <c r="AB909" s="31">
        <v>0</v>
      </c>
      <c r="AC909" s="31">
        <f>ROUND(N909*1.5%,2)</f>
        <v>43313.23</v>
      </c>
      <c r="AD909" s="31">
        <v>150000</v>
      </c>
      <c r="AE909" s="31">
        <v>0</v>
      </c>
      <c r="AF909" s="34">
        <v>2021</v>
      </c>
      <c r="AG909" s="34">
        <v>2021</v>
      </c>
      <c r="AH909" s="35">
        <v>2021</v>
      </c>
      <c r="AT909" s="20" t="e">
        <f t="shared" si="385"/>
        <v>#N/A</v>
      </c>
    </row>
    <row r="910" spans="1:80" ht="61.5" x14ac:dyDescent="0.85">
      <c r="B910" s="24" t="s">
        <v>922</v>
      </c>
      <c r="C910" s="24"/>
      <c r="D910" s="31">
        <f>D911</f>
        <v>3655260</v>
      </c>
      <c r="E910" s="31">
        <f t="shared" ref="E910:AA910" si="391">E911</f>
        <v>0</v>
      </c>
      <c r="F910" s="31">
        <f t="shared" si="391"/>
        <v>0</v>
      </c>
      <c r="G910" s="31">
        <f t="shared" si="391"/>
        <v>0</v>
      </c>
      <c r="H910" s="31">
        <f t="shared" si="391"/>
        <v>0</v>
      </c>
      <c r="I910" s="31">
        <f t="shared" si="391"/>
        <v>0</v>
      </c>
      <c r="J910" s="31">
        <f t="shared" si="391"/>
        <v>0</v>
      </c>
      <c r="K910" s="33">
        <f t="shared" si="391"/>
        <v>0</v>
      </c>
      <c r="L910" s="31">
        <f t="shared" si="391"/>
        <v>0</v>
      </c>
      <c r="M910" s="31">
        <f t="shared" si="391"/>
        <v>700</v>
      </c>
      <c r="N910" s="31">
        <f t="shared" si="391"/>
        <v>3453458.13</v>
      </c>
      <c r="O910" s="31">
        <f t="shared" si="391"/>
        <v>0</v>
      </c>
      <c r="P910" s="31">
        <f t="shared" si="391"/>
        <v>0</v>
      </c>
      <c r="Q910" s="31">
        <f t="shared" si="391"/>
        <v>0</v>
      </c>
      <c r="R910" s="31">
        <f t="shared" si="391"/>
        <v>0</v>
      </c>
      <c r="S910" s="31">
        <f t="shared" si="391"/>
        <v>0</v>
      </c>
      <c r="T910" s="31">
        <f t="shared" si="391"/>
        <v>0</v>
      </c>
      <c r="U910" s="31">
        <f t="shared" si="391"/>
        <v>0</v>
      </c>
      <c r="V910" s="31">
        <f t="shared" si="391"/>
        <v>0</v>
      </c>
      <c r="W910" s="31">
        <f t="shared" si="391"/>
        <v>0</v>
      </c>
      <c r="X910" s="31">
        <f t="shared" si="391"/>
        <v>0</v>
      </c>
      <c r="Y910" s="31">
        <f t="shared" si="391"/>
        <v>0</v>
      </c>
      <c r="Z910" s="31">
        <f t="shared" si="391"/>
        <v>0</v>
      </c>
      <c r="AA910" s="31">
        <f t="shared" si="391"/>
        <v>0</v>
      </c>
      <c r="AB910" s="31">
        <f>AB911</f>
        <v>0</v>
      </c>
      <c r="AC910" s="31">
        <f t="shared" ref="AC910" si="392">AC911</f>
        <v>51801.87</v>
      </c>
      <c r="AD910" s="31">
        <f t="shared" ref="AD910" si="393">AD911</f>
        <v>150000</v>
      </c>
      <c r="AE910" s="31">
        <f t="shared" ref="AE910" si="394">AE911</f>
        <v>0</v>
      </c>
      <c r="AF910" s="72" t="s">
        <v>794</v>
      </c>
      <c r="AG910" s="72" t="s">
        <v>794</v>
      </c>
      <c r="AH910" s="91" t="s">
        <v>794</v>
      </c>
      <c r="AT910" s="20" t="e">
        <f t="shared" si="385"/>
        <v>#N/A</v>
      </c>
    </row>
    <row r="911" spans="1:80" ht="61.5" x14ac:dyDescent="0.85">
      <c r="A911" s="20">
        <v>1</v>
      </c>
      <c r="B911" s="66">
        <f>SUBTOTAL(103,$A$567:A911)</f>
        <v>296</v>
      </c>
      <c r="C911" s="24" t="s">
        <v>99</v>
      </c>
      <c r="D911" s="31">
        <f t="shared" ref="D911" si="395">E911+F911+G911+H911+I911+J911+L911+N911+P911+R911+T911+U911+V911+W911+X911+Y911+Z911+AA911+AB911+AC911+AD911+AE911</f>
        <v>3655260</v>
      </c>
      <c r="E911" s="31">
        <v>0</v>
      </c>
      <c r="F911" s="31">
        <v>0</v>
      </c>
      <c r="G911" s="31">
        <v>0</v>
      </c>
      <c r="H911" s="31">
        <v>0</v>
      </c>
      <c r="I911" s="31">
        <v>0</v>
      </c>
      <c r="J911" s="31">
        <v>0</v>
      </c>
      <c r="K911" s="33">
        <v>0</v>
      </c>
      <c r="L911" s="31">
        <v>0</v>
      </c>
      <c r="M911" s="31">
        <v>700</v>
      </c>
      <c r="N911" s="31">
        <v>3453458.13</v>
      </c>
      <c r="O911" s="31">
        <v>0</v>
      </c>
      <c r="P911" s="31">
        <v>0</v>
      </c>
      <c r="Q911" s="31">
        <v>0</v>
      </c>
      <c r="R911" s="31">
        <v>0</v>
      </c>
      <c r="S911" s="31">
        <v>0</v>
      </c>
      <c r="T911" s="31">
        <v>0</v>
      </c>
      <c r="U911" s="31">
        <v>0</v>
      </c>
      <c r="V911" s="31">
        <v>0</v>
      </c>
      <c r="W911" s="31">
        <v>0</v>
      </c>
      <c r="X911" s="31">
        <v>0</v>
      </c>
      <c r="Y911" s="31">
        <v>0</v>
      </c>
      <c r="Z911" s="31">
        <v>0</v>
      </c>
      <c r="AA911" s="31">
        <v>0</v>
      </c>
      <c r="AB911" s="31">
        <v>0</v>
      </c>
      <c r="AC911" s="31">
        <f>ROUND(N911*1.5%,2)</f>
        <v>51801.87</v>
      </c>
      <c r="AD911" s="31">
        <v>150000</v>
      </c>
      <c r="AE911" s="31">
        <v>0</v>
      </c>
      <c r="AF911" s="34">
        <v>2021</v>
      </c>
      <c r="AG911" s="34">
        <v>2021</v>
      </c>
      <c r="AH911" s="35">
        <v>2021</v>
      </c>
      <c r="AT911" s="20" t="e">
        <f t="shared" si="385"/>
        <v>#N/A</v>
      </c>
    </row>
    <row r="912" spans="1:80" ht="61.5" x14ac:dyDescent="0.85">
      <c r="B912" s="24" t="s">
        <v>900</v>
      </c>
      <c r="C912" s="24"/>
      <c r="D912" s="31">
        <f>D913</f>
        <v>3080862</v>
      </c>
      <c r="E912" s="31">
        <f t="shared" ref="E912:AE912" si="396">E913</f>
        <v>0</v>
      </c>
      <c r="F912" s="31">
        <f t="shared" si="396"/>
        <v>0</v>
      </c>
      <c r="G912" s="31">
        <f t="shared" si="396"/>
        <v>0</v>
      </c>
      <c r="H912" s="31">
        <f t="shared" si="396"/>
        <v>0</v>
      </c>
      <c r="I912" s="31">
        <f t="shared" si="396"/>
        <v>0</v>
      </c>
      <c r="J912" s="31">
        <f t="shared" si="396"/>
        <v>0</v>
      </c>
      <c r="K912" s="33">
        <f t="shared" si="396"/>
        <v>0</v>
      </c>
      <c r="L912" s="31">
        <f t="shared" si="396"/>
        <v>0</v>
      </c>
      <c r="M912" s="31">
        <f t="shared" si="396"/>
        <v>590</v>
      </c>
      <c r="N912" s="31">
        <f t="shared" si="396"/>
        <v>2887548.77</v>
      </c>
      <c r="O912" s="31">
        <f t="shared" si="396"/>
        <v>0</v>
      </c>
      <c r="P912" s="31">
        <f t="shared" si="396"/>
        <v>0</v>
      </c>
      <c r="Q912" s="31">
        <f t="shared" si="396"/>
        <v>0</v>
      </c>
      <c r="R912" s="31">
        <f t="shared" si="396"/>
        <v>0</v>
      </c>
      <c r="S912" s="31">
        <f t="shared" si="396"/>
        <v>0</v>
      </c>
      <c r="T912" s="31">
        <f t="shared" si="396"/>
        <v>0</v>
      </c>
      <c r="U912" s="31">
        <f t="shared" si="396"/>
        <v>0</v>
      </c>
      <c r="V912" s="31">
        <f t="shared" si="396"/>
        <v>0</v>
      </c>
      <c r="W912" s="31">
        <f t="shared" si="396"/>
        <v>0</v>
      </c>
      <c r="X912" s="31">
        <f t="shared" si="396"/>
        <v>0</v>
      </c>
      <c r="Y912" s="31">
        <f t="shared" si="396"/>
        <v>0</v>
      </c>
      <c r="Z912" s="31">
        <f t="shared" si="396"/>
        <v>0</v>
      </c>
      <c r="AA912" s="31">
        <f t="shared" si="396"/>
        <v>0</v>
      </c>
      <c r="AB912" s="31">
        <f t="shared" si="396"/>
        <v>0</v>
      </c>
      <c r="AC912" s="31">
        <f t="shared" si="396"/>
        <v>43313.23</v>
      </c>
      <c r="AD912" s="31">
        <f t="shared" si="396"/>
        <v>150000</v>
      </c>
      <c r="AE912" s="31">
        <f t="shared" si="396"/>
        <v>0</v>
      </c>
      <c r="AF912" s="72" t="s">
        <v>794</v>
      </c>
      <c r="AG912" s="72" t="s">
        <v>794</v>
      </c>
      <c r="AH912" s="91" t="s">
        <v>794</v>
      </c>
      <c r="AT912" s="20" t="e">
        <f t="shared" si="385"/>
        <v>#N/A</v>
      </c>
    </row>
    <row r="913" spans="1:46" ht="61.5" x14ac:dyDescent="0.85">
      <c r="A913" s="20">
        <v>1</v>
      </c>
      <c r="B913" s="66">
        <f>SUBTOTAL(103,$A$567:A913)</f>
        <v>297</v>
      </c>
      <c r="C913" s="24" t="s">
        <v>100</v>
      </c>
      <c r="D913" s="31">
        <f t="shared" ref="D913" si="397">E913+F913+G913+H913+I913+J913+L913+N913+P913+R913+T913+U913+V913+W913+X913+Y913+Z913+AA913+AB913+AC913+AD913+AE913</f>
        <v>3080862</v>
      </c>
      <c r="E913" s="31">
        <v>0</v>
      </c>
      <c r="F913" s="31">
        <v>0</v>
      </c>
      <c r="G913" s="31">
        <v>0</v>
      </c>
      <c r="H913" s="31">
        <v>0</v>
      </c>
      <c r="I913" s="31">
        <v>0</v>
      </c>
      <c r="J913" s="31">
        <v>0</v>
      </c>
      <c r="K913" s="33">
        <v>0</v>
      </c>
      <c r="L913" s="31">
        <v>0</v>
      </c>
      <c r="M913" s="31">
        <v>590</v>
      </c>
      <c r="N913" s="31">
        <v>2887548.77</v>
      </c>
      <c r="O913" s="31">
        <v>0</v>
      </c>
      <c r="P913" s="31">
        <v>0</v>
      </c>
      <c r="Q913" s="31">
        <v>0</v>
      </c>
      <c r="R913" s="31">
        <v>0</v>
      </c>
      <c r="S913" s="31">
        <v>0</v>
      </c>
      <c r="T913" s="31">
        <v>0</v>
      </c>
      <c r="U913" s="31">
        <v>0</v>
      </c>
      <c r="V913" s="31">
        <v>0</v>
      </c>
      <c r="W913" s="31">
        <v>0</v>
      </c>
      <c r="X913" s="31">
        <v>0</v>
      </c>
      <c r="Y913" s="31">
        <v>0</v>
      </c>
      <c r="Z913" s="31">
        <v>0</v>
      </c>
      <c r="AA913" s="31">
        <v>0</v>
      </c>
      <c r="AB913" s="31">
        <v>0</v>
      </c>
      <c r="AC913" s="31">
        <f>ROUND(N913*1.5%,2)</f>
        <v>43313.23</v>
      </c>
      <c r="AD913" s="31">
        <v>150000</v>
      </c>
      <c r="AE913" s="31">
        <v>0</v>
      </c>
      <c r="AF913" s="34">
        <v>2021</v>
      </c>
      <c r="AG913" s="34">
        <v>2021</v>
      </c>
      <c r="AH913" s="35">
        <v>2021</v>
      </c>
      <c r="AT913" s="20" t="e">
        <f t="shared" si="385"/>
        <v>#N/A</v>
      </c>
    </row>
    <row r="914" spans="1:46" ht="61.5" x14ac:dyDescent="0.85">
      <c r="B914" s="24" t="s">
        <v>901</v>
      </c>
      <c r="C914" s="117"/>
      <c r="D914" s="31">
        <f>D915+D916+D917</f>
        <v>7774419.2400000002</v>
      </c>
      <c r="E914" s="31">
        <f t="shared" ref="E914:AE914" si="398">E915+E916+E917</f>
        <v>0</v>
      </c>
      <c r="F914" s="31">
        <f t="shared" si="398"/>
        <v>0</v>
      </c>
      <c r="G914" s="31">
        <f t="shared" si="398"/>
        <v>0</v>
      </c>
      <c r="H914" s="31">
        <f t="shared" si="398"/>
        <v>0</v>
      </c>
      <c r="I914" s="31">
        <f t="shared" si="398"/>
        <v>0</v>
      </c>
      <c r="J914" s="31">
        <f t="shared" si="398"/>
        <v>0</v>
      </c>
      <c r="K914" s="33">
        <f t="shared" si="398"/>
        <v>0</v>
      </c>
      <c r="L914" s="31">
        <f t="shared" si="398"/>
        <v>0</v>
      </c>
      <c r="M914" s="31">
        <f t="shared" si="398"/>
        <v>1206</v>
      </c>
      <c r="N914" s="31">
        <f t="shared" si="398"/>
        <v>5645911.3300000001</v>
      </c>
      <c r="O914" s="31">
        <f t="shared" si="398"/>
        <v>0</v>
      </c>
      <c r="P914" s="31">
        <f t="shared" si="398"/>
        <v>0</v>
      </c>
      <c r="Q914" s="31">
        <f t="shared" si="398"/>
        <v>531</v>
      </c>
      <c r="R914" s="31">
        <f t="shared" si="398"/>
        <v>1471743.09</v>
      </c>
      <c r="S914" s="31">
        <f t="shared" si="398"/>
        <v>0</v>
      </c>
      <c r="T914" s="31">
        <f t="shared" si="398"/>
        <v>0</v>
      </c>
      <c r="U914" s="31">
        <f t="shared" si="398"/>
        <v>0</v>
      </c>
      <c r="V914" s="31">
        <f t="shared" si="398"/>
        <v>0</v>
      </c>
      <c r="W914" s="31">
        <f t="shared" si="398"/>
        <v>0</v>
      </c>
      <c r="X914" s="31">
        <f t="shared" si="398"/>
        <v>0</v>
      </c>
      <c r="Y914" s="31">
        <f t="shared" si="398"/>
        <v>0</v>
      </c>
      <c r="Z914" s="31">
        <f t="shared" si="398"/>
        <v>0</v>
      </c>
      <c r="AA914" s="31">
        <f t="shared" si="398"/>
        <v>0</v>
      </c>
      <c r="AB914" s="31">
        <f t="shared" si="398"/>
        <v>0</v>
      </c>
      <c r="AC914" s="31">
        <f t="shared" si="398"/>
        <v>106764.82</v>
      </c>
      <c r="AD914" s="31">
        <f t="shared" si="398"/>
        <v>430000</v>
      </c>
      <c r="AE914" s="31">
        <f t="shared" si="398"/>
        <v>120000</v>
      </c>
      <c r="AF914" s="72" t="s">
        <v>794</v>
      </c>
      <c r="AG914" s="72" t="s">
        <v>794</v>
      </c>
      <c r="AH914" s="91" t="s">
        <v>794</v>
      </c>
      <c r="AT914" s="20" t="e">
        <f t="shared" si="385"/>
        <v>#N/A</v>
      </c>
    </row>
    <row r="915" spans="1:46" ht="61.5" x14ac:dyDescent="0.85">
      <c r="A915" s="20">
        <v>1</v>
      </c>
      <c r="B915" s="66">
        <f>SUBTOTAL(103,$A$567:A915)</f>
        <v>298</v>
      </c>
      <c r="C915" s="24" t="s">
        <v>193</v>
      </c>
      <c r="D915" s="31">
        <f t="shared" ref="D915:D917" si="399">E915+F915+G915+H915+I915+J915+L915+N915+P915+R915+T915+U915+V915+W915+X915+Y915+Z915+AA915+AB915+AC915+AD915+AE915</f>
        <v>3549600</v>
      </c>
      <c r="E915" s="31">
        <v>0</v>
      </c>
      <c r="F915" s="31">
        <v>0</v>
      </c>
      <c r="G915" s="31">
        <v>0</v>
      </c>
      <c r="H915" s="31">
        <v>0</v>
      </c>
      <c r="I915" s="31">
        <v>0</v>
      </c>
      <c r="J915" s="31">
        <v>0</v>
      </c>
      <c r="K915" s="33">
        <v>0</v>
      </c>
      <c r="L915" s="31">
        <v>0</v>
      </c>
      <c r="M915" s="31">
        <v>696</v>
      </c>
      <c r="N915" s="31">
        <v>3349359.61</v>
      </c>
      <c r="O915" s="31">
        <v>0</v>
      </c>
      <c r="P915" s="31">
        <v>0</v>
      </c>
      <c r="Q915" s="31">
        <v>0</v>
      </c>
      <c r="R915" s="31">
        <v>0</v>
      </c>
      <c r="S915" s="31">
        <v>0</v>
      </c>
      <c r="T915" s="31">
        <v>0</v>
      </c>
      <c r="U915" s="31">
        <v>0</v>
      </c>
      <c r="V915" s="31">
        <v>0</v>
      </c>
      <c r="W915" s="31">
        <v>0</v>
      </c>
      <c r="X915" s="31">
        <v>0</v>
      </c>
      <c r="Y915" s="31">
        <v>0</v>
      </c>
      <c r="Z915" s="31">
        <v>0</v>
      </c>
      <c r="AA915" s="31">
        <v>0</v>
      </c>
      <c r="AB915" s="31">
        <v>0</v>
      </c>
      <c r="AC915" s="31">
        <f t="shared" ref="AC915:AC916" si="400">ROUND(N915*1.5%,2)</f>
        <v>50240.39</v>
      </c>
      <c r="AD915" s="31">
        <v>150000</v>
      </c>
      <c r="AE915" s="31">
        <v>0</v>
      </c>
      <c r="AF915" s="34">
        <v>2021</v>
      </c>
      <c r="AG915" s="34">
        <v>2021</v>
      </c>
      <c r="AH915" s="35">
        <v>2021</v>
      </c>
      <c r="AT915" s="20" t="e">
        <f t="shared" si="385"/>
        <v>#N/A</v>
      </c>
    </row>
    <row r="916" spans="1:46" ht="61.5" x14ac:dyDescent="0.85">
      <c r="A916" s="20">
        <v>1</v>
      </c>
      <c r="B916" s="66">
        <f>SUBTOTAL(103,$A$567:A916)</f>
        <v>299</v>
      </c>
      <c r="C916" s="24" t="s">
        <v>194</v>
      </c>
      <c r="D916" s="31">
        <f t="shared" si="399"/>
        <v>2601000</v>
      </c>
      <c r="E916" s="31">
        <v>0</v>
      </c>
      <c r="F916" s="31">
        <v>0</v>
      </c>
      <c r="G916" s="31">
        <v>0</v>
      </c>
      <c r="H916" s="31">
        <v>0</v>
      </c>
      <c r="I916" s="31">
        <v>0</v>
      </c>
      <c r="J916" s="31">
        <v>0</v>
      </c>
      <c r="K916" s="33">
        <v>0</v>
      </c>
      <c r="L916" s="31">
        <v>0</v>
      </c>
      <c r="M916" s="31">
        <v>510</v>
      </c>
      <c r="N916" s="31">
        <f>2414778.33-118226.61</f>
        <v>2296551.7200000002</v>
      </c>
      <c r="O916" s="31">
        <v>0</v>
      </c>
      <c r="P916" s="31">
        <v>0</v>
      </c>
      <c r="Q916" s="31">
        <v>0</v>
      </c>
      <c r="R916" s="31">
        <v>0</v>
      </c>
      <c r="S916" s="31">
        <v>0</v>
      </c>
      <c r="T916" s="31">
        <v>0</v>
      </c>
      <c r="U916" s="31">
        <v>0</v>
      </c>
      <c r="V916" s="31">
        <v>0</v>
      </c>
      <c r="W916" s="31">
        <v>0</v>
      </c>
      <c r="X916" s="31">
        <v>0</v>
      </c>
      <c r="Y916" s="31">
        <v>0</v>
      </c>
      <c r="Z916" s="31">
        <v>0</v>
      </c>
      <c r="AA916" s="31">
        <v>0</v>
      </c>
      <c r="AB916" s="31">
        <v>0</v>
      </c>
      <c r="AC916" s="31">
        <f t="shared" si="400"/>
        <v>34448.28</v>
      </c>
      <c r="AD916" s="31">
        <v>150000</v>
      </c>
      <c r="AE916" s="31">
        <v>120000</v>
      </c>
      <c r="AF916" s="34">
        <v>2021</v>
      </c>
      <c r="AG916" s="34">
        <v>2021</v>
      </c>
      <c r="AH916" s="35">
        <v>2021</v>
      </c>
      <c r="AT916" s="20" t="e">
        <f t="shared" si="385"/>
        <v>#N/A</v>
      </c>
    </row>
    <row r="917" spans="1:46" ht="61.5" x14ac:dyDescent="0.85">
      <c r="A917" s="20">
        <v>1</v>
      </c>
      <c r="B917" s="66">
        <f>SUBTOTAL(103,$A$567:A917)</f>
        <v>300</v>
      </c>
      <c r="C917" s="24" t="s">
        <v>195</v>
      </c>
      <c r="D917" s="31">
        <f t="shared" si="399"/>
        <v>1623819.24</v>
      </c>
      <c r="E917" s="31">
        <v>0</v>
      </c>
      <c r="F917" s="31">
        <v>0</v>
      </c>
      <c r="G917" s="31">
        <v>0</v>
      </c>
      <c r="H917" s="31">
        <v>0</v>
      </c>
      <c r="I917" s="31">
        <v>0</v>
      </c>
      <c r="J917" s="31">
        <v>0</v>
      </c>
      <c r="K917" s="33">
        <v>0</v>
      </c>
      <c r="L917" s="31">
        <v>0</v>
      </c>
      <c r="M917" s="31">
        <v>0</v>
      </c>
      <c r="N917" s="31">
        <v>0</v>
      </c>
      <c r="O917" s="31">
        <v>0</v>
      </c>
      <c r="P917" s="31">
        <v>0</v>
      </c>
      <c r="Q917" s="31">
        <v>531</v>
      </c>
      <c r="R917" s="31">
        <v>1471743.09</v>
      </c>
      <c r="S917" s="31">
        <v>0</v>
      </c>
      <c r="T917" s="31">
        <v>0</v>
      </c>
      <c r="U917" s="31">
        <v>0</v>
      </c>
      <c r="V917" s="31">
        <v>0</v>
      </c>
      <c r="W917" s="31">
        <v>0</v>
      </c>
      <c r="X917" s="31">
        <v>0</v>
      </c>
      <c r="Y917" s="31">
        <v>0</v>
      </c>
      <c r="Z917" s="31">
        <v>0</v>
      </c>
      <c r="AA917" s="31">
        <v>0</v>
      </c>
      <c r="AB917" s="31">
        <v>0</v>
      </c>
      <c r="AC917" s="31">
        <f t="shared" ref="AC917" si="401">ROUND(R917*1.5%,2)</f>
        <v>22076.15</v>
      </c>
      <c r="AD917" s="31">
        <v>130000</v>
      </c>
      <c r="AE917" s="31">
        <v>0</v>
      </c>
      <c r="AF917" s="34">
        <v>2021</v>
      </c>
      <c r="AG917" s="34">
        <v>2021</v>
      </c>
      <c r="AH917" s="35">
        <v>2021</v>
      </c>
      <c r="AT917" s="20" t="e">
        <f t="shared" si="385"/>
        <v>#N/A</v>
      </c>
    </row>
    <row r="918" spans="1:46" ht="61.5" x14ac:dyDescent="0.85">
      <c r="B918" s="24" t="s">
        <v>903</v>
      </c>
      <c r="C918" s="24"/>
      <c r="D918" s="31">
        <f>D919</f>
        <v>4275483</v>
      </c>
      <c r="E918" s="31">
        <f t="shared" ref="E918:AE918" si="402">E919</f>
        <v>0</v>
      </c>
      <c r="F918" s="31">
        <f t="shared" si="402"/>
        <v>0</v>
      </c>
      <c r="G918" s="31">
        <f t="shared" si="402"/>
        <v>0</v>
      </c>
      <c r="H918" s="31">
        <f t="shared" si="402"/>
        <v>0</v>
      </c>
      <c r="I918" s="31">
        <f t="shared" si="402"/>
        <v>0</v>
      </c>
      <c r="J918" s="31">
        <f t="shared" si="402"/>
        <v>0</v>
      </c>
      <c r="K918" s="33">
        <f t="shared" si="402"/>
        <v>0</v>
      </c>
      <c r="L918" s="31">
        <f t="shared" si="402"/>
        <v>0</v>
      </c>
      <c r="M918" s="31">
        <f t="shared" si="402"/>
        <v>838.33</v>
      </c>
      <c r="N918" s="31">
        <f t="shared" si="402"/>
        <v>4064515.27</v>
      </c>
      <c r="O918" s="31">
        <f t="shared" si="402"/>
        <v>0</v>
      </c>
      <c r="P918" s="31">
        <f t="shared" si="402"/>
        <v>0</v>
      </c>
      <c r="Q918" s="31">
        <f t="shared" si="402"/>
        <v>0</v>
      </c>
      <c r="R918" s="31">
        <f t="shared" si="402"/>
        <v>0</v>
      </c>
      <c r="S918" s="31">
        <f t="shared" si="402"/>
        <v>0</v>
      </c>
      <c r="T918" s="31">
        <f t="shared" si="402"/>
        <v>0</v>
      </c>
      <c r="U918" s="31">
        <f t="shared" si="402"/>
        <v>0</v>
      </c>
      <c r="V918" s="31">
        <f t="shared" si="402"/>
        <v>0</v>
      </c>
      <c r="W918" s="31">
        <f t="shared" si="402"/>
        <v>0</v>
      </c>
      <c r="X918" s="31">
        <f t="shared" si="402"/>
        <v>0</v>
      </c>
      <c r="Y918" s="31">
        <f t="shared" si="402"/>
        <v>0</v>
      </c>
      <c r="Z918" s="31">
        <f t="shared" si="402"/>
        <v>0</v>
      </c>
      <c r="AA918" s="31">
        <f t="shared" si="402"/>
        <v>0</v>
      </c>
      <c r="AB918" s="31">
        <f t="shared" si="402"/>
        <v>0</v>
      </c>
      <c r="AC918" s="31">
        <f t="shared" si="402"/>
        <v>60967.73</v>
      </c>
      <c r="AD918" s="31">
        <f t="shared" si="402"/>
        <v>150000</v>
      </c>
      <c r="AE918" s="31">
        <f t="shared" si="402"/>
        <v>0</v>
      </c>
      <c r="AF918" s="72" t="s">
        <v>794</v>
      </c>
      <c r="AG918" s="72" t="s">
        <v>794</v>
      </c>
      <c r="AH918" s="91" t="s">
        <v>794</v>
      </c>
      <c r="AT918" s="20" t="e">
        <f t="shared" si="385"/>
        <v>#N/A</v>
      </c>
    </row>
    <row r="919" spans="1:46" ht="61.5" x14ac:dyDescent="0.85">
      <c r="A919" s="20">
        <v>1</v>
      </c>
      <c r="B919" s="66">
        <f>SUBTOTAL(103,$A$567:A919)</f>
        <v>301</v>
      </c>
      <c r="C919" s="24" t="s">
        <v>197</v>
      </c>
      <c r="D919" s="31">
        <f t="shared" ref="D919" si="403">E919+F919+G919+H919+I919+J919+L919+N919+P919+R919+T919+U919+V919+W919+X919+Y919+Z919+AA919+AB919+AC919+AD919+AE919</f>
        <v>4275483</v>
      </c>
      <c r="E919" s="31">
        <v>0</v>
      </c>
      <c r="F919" s="31">
        <v>0</v>
      </c>
      <c r="G919" s="31">
        <v>0</v>
      </c>
      <c r="H919" s="31">
        <v>0</v>
      </c>
      <c r="I919" s="31">
        <v>0</v>
      </c>
      <c r="J919" s="31">
        <v>0</v>
      </c>
      <c r="K919" s="33">
        <v>0</v>
      </c>
      <c r="L919" s="31">
        <v>0</v>
      </c>
      <c r="M919" s="31">
        <v>838.33</v>
      </c>
      <c r="N919" s="31">
        <v>4064515.27</v>
      </c>
      <c r="O919" s="31">
        <v>0</v>
      </c>
      <c r="P919" s="31">
        <v>0</v>
      </c>
      <c r="Q919" s="31">
        <v>0</v>
      </c>
      <c r="R919" s="31">
        <v>0</v>
      </c>
      <c r="S919" s="31">
        <v>0</v>
      </c>
      <c r="T919" s="31">
        <v>0</v>
      </c>
      <c r="U919" s="31">
        <v>0</v>
      </c>
      <c r="V919" s="31">
        <v>0</v>
      </c>
      <c r="W919" s="31">
        <v>0</v>
      </c>
      <c r="X919" s="31">
        <v>0</v>
      </c>
      <c r="Y919" s="31">
        <v>0</v>
      </c>
      <c r="Z919" s="31">
        <v>0</v>
      </c>
      <c r="AA919" s="31">
        <v>0</v>
      </c>
      <c r="AB919" s="31">
        <v>0</v>
      </c>
      <c r="AC919" s="31">
        <f>ROUND(N919*1.5%,2)</f>
        <v>60967.73</v>
      </c>
      <c r="AD919" s="31">
        <v>150000</v>
      </c>
      <c r="AE919" s="31">
        <v>0</v>
      </c>
      <c r="AF919" s="34">
        <v>2021</v>
      </c>
      <c r="AG919" s="34">
        <v>2021</v>
      </c>
      <c r="AH919" s="35">
        <v>2021</v>
      </c>
      <c r="AT919" s="20" t="e">
        <f t="shared" si="385"/>
        <v>#N/A</v>
      </c>
    </row>
    <row r="920" spans="1:46" ht="61.5" x14ac:dyDescent="0.85">
      <c r="B920" s="24" t="s">
        <v>905</v>
      </c>
      <c r="C920" s="117"/>
      <c r="D920" s="31">
        <f>D921+D922</f>
        <v>9113700</v>
      </c>
      <c r="E920" s="31">
        <f t="shared" ref="E920:AE920" si="404">E921+E922</f>
        <v>0</v>
      </c>
      <c r="F920" s="31">
        <f t="shared" si="404"/>
        <v>0</v>
      </c>
      <c r="G920" s="31">
        <f t="shared" si="404"/>
        <v>0</v>
      </c>
      <c r="H920" s="31">
        <f t="shared" si="404"/>
        <v>0</v>
      </c>
      <c r="I920" s="31">
        <f t="shared" si="404"/>
        <v>0</v>
      </c>
      <c r="J920" s="31">
        <f t="shared" si="404"/>
        <v>0</v>
      </c>
      <c r="K920" s="33">
        <f t="shared" si="404"/>
        <v>0</v>
      </c>
      <c r="L920" s="31">
        <f t="shared" si="404"/>
        <v>0</v>
      </c>
      <c r="M920" s="31">
        <f t="shared" si="404"/>
        <v>1787</v>
      </c>
      <c r="N920" s="31">
        <f t="shared" si="404"/>
        <v>8653891.629999999</v>
      </c>
      <c r="O920" s="31">
        <f t="shared" si="404"/>
        <v>0</v>
      </c>
      <c r="P920" s="31">
        <f t="shared" si="404"/>
        <v>0</v>
      </c>
      <c r="Q920" s="31">
        <f t="shared" si="404"/>
        <v>0</v>
      </c>
      <c r="R920" s="31">
        <f t="shared" si="404"/>
        <v>0</v>
      </c>
      <c r="S920" s="31">
        <f t="shared" si="404"/>
        <v>0</v>
      </c>
      <c r="T920" s="31">
        <f t="shared" si="404"/>
        <v>0</v>
      </c>
      <c r="U920" s="31">
        <f t="shared" si="404"/>
        <v>0</v>
      </c>
      <c r="V920" s="31">
        <f t="shared" si="404"/>
        <v>0</v>
      </c>
      <c r="W920" s="31">
        <f t="shared" si="404"/>
        <v>0</v>
      </c>
      <c r="X920" s="31">
        <f t="shared" si="404"/>
        <v>0</v>
      </c>
      <c r="Y920" s="31">
        <f t="shared" si="404"/>
        <v>0</v>
      </c>
      <c r="Z920" s="31">
        <f t="shared" si="404"/>
        <v>0</v>
      </c>
      <c r="AA920" s="31">
        <f t="shared" si="404"/>
        <v>0</v>
      </c>
      <c r="AB920" s="31">
        <f t="shared" si="404"/>
        <v>0</v>
      </c>
      <c r="AC920" s="31">
        <f t="shared" si="404"/>
        <v>129808.37</v>
      </c>
      <c r="AD920" s="31">
        <f t="shared" si="404"/>
        <v>330000</v>
      </c>
      <c r="AE920" s="31">
        <f t="shared" si="404"/>
        <v>0</v>
      </c>
      <c r="AF920" s="72" t="s">
        <v>794</v>
      </c>
      <c r="AG920" s="72" t="s">
        <v>794</v>
      </c>
      <c r="AH920" s="91" t="s">
        <v>794</v>
      </c>
      <c r="AT920" s="20" t="e">
        <f t="shared" si="385"/>
        <v>#N/A</v>
      </c>
    </row>
    <row r="921" spans="1:46" ht="61.5" x14ac:dyDescent="0.85">
      <c r="A921" s="20">
        <v>1</v>
      </c>
      <c r="B921" s="66">
        <f>SUBTOTAL(103,$A$567:A921)</f>
        <v>302</v>
      </c>
      <c r="C921" s="24" t="s">
        <v>216</v>
      </c>
      <c r="D921" s="31">
        <f t="shared" ref="D921:D922" si="405">E921+F921+G921+H921+I921+J921+L921+N921+P921+R921+T921+U921+V921+W921+X921+Y921+Z921+AA921+AB921+AC921+AD921+AE921</f>
        <v>6135300</v>
      </c>
      <c r="E921" s="31">
        <v>0</v>
      </c>
      <c r="F921" s="31">
        <v>0</v>
      </c>
      <c r="G921" s="31">
        <v>0</v>
      </c>
      <c r="H921" s="31">
        <v>0</v>
      </c>
      <c r="I921" s="31">
        <v>0</v>
      </c>
      <c r="J921" s="31">
        <v>0</v>
      </c>
      <c r="K921" s="33">
        <v>0</v>
      </c>
      <c r="L921" s="31">
        <v>0</v>
      </c>
      <c r="M921" s="31">
        <v>1203</v>
      </c>
      <c r="N921" s="31">
        <v>5867290.6399999997</v>
      </c>
      <c r="O921" s="31">
        <v>0</v>
      </c>
      <c r="P921" s="31">
        <v>0</v>
      </c>
      <c r="Q921" s="31">
        <v>0</v>
      </c>
      <c r="R921" s="31">
        <v>0</v>
      </c>
      <c r="S921" s="31">
        <v>0</v>
      </c>
      <c r="T921" s="31">
        <v>0</v>
      </c>
      <c r="U921" s="31">
        <v>0</v>
      </c>
      <c r="V921" s="31">
        <v>0</v>
      </c>
      <c r="W921" s="31">
        <v>0</v>
      </c>
      <c r="X921" s="31">
        <v>0</v>
      </c>
      <c r="Y921" s="31">
        <v>0</v>
      </c>
      <c r="Z921" s="31">
        <v>0</v>
      </c>
      <c r="AA921" s="31">
        <v>0</v>
      </c>
      <c r="AB921" s="31">
        <v>0</v>
      </c>
      <c r="AC921" s="31">
        <f t="shared" ref="AC921:AC922" si="406">ROUND(N921*1.5%,2)</f>
        <v>88009.36</v>
      </c>
      <c r="AD921" s="31">
        <v>180000</v>
      </c>
      <c r="AE921" s="31">
        <v>0</v>
      </c>
      <c r="AF921" s="34">
        <v>2021</v>
      </c>
      <c r="AG921" s="34">
        <v>2021</v>
      </c>
      <c r="AH921" s="35">
        <v>2021</v>
      </c>
      <c r="AT921" s="20" t="e">
        <f t="shared" si="385"/>
        <v>#N/A</v>
      </c>
    </row>
    <row r="922" spans="1:46" ht="61.5" x14ac:dyDescent="0.85">
      <c r="A922" s="20">
        <v>1</v>
      </c>
      <c r="B922" s="66">
        <f>SUBTOTAL(103,$A$567:A922)</f>
        <v>303</v>
      </c>
      <c r="C922" s="24" t="s">
        <v>217</v>
      </c>
      <c r="D922" s="31">
        <f t="shared" si="405"/>
        <v>2978400</v>
      </c>
      <c r="E922" s="31">
        <v>0</v>
      </c>
      <c r="F922" s="31">
        <v>0</v>
      </c>
      <c r="G922" s="31">
        <v>0</v>
      </c>
      <c r="H922" s="31">
        <v>0</v>
      </c>
      <c r="I922" s="31">
        <v>0</v>
      </c>
      <c r="J922" s="31">
        <v>0</v>
      </c>
      <c r="K922" s="33">
        <v>0</v>
      </c>
      <c r="L922" s="31">
        <v>0</v>
      </c>
      <c r="M922" s="31">
        <v>584</v>
      </c>
      <c r="N922" s="31">
        <v>2786600.99</v>
      </c>
      <c r="O922" s="31">
        <v>0</v>
      </c>
      <c r="P922" s="31">
        <v>0</v>
      </c>
      <c r="Q922" s="31">
        <v>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1">
        <v>0</v>
      </c>
      <c r="Y922" s="31">
        <v>0</v>
      </c>
      <c r="Z922" s="31">
        <v>0</v>
      </c>
      <c r="AA922" s="31">
        <v>0</v>
      </c>
      <c r="AB922" s="31">
        <v>0</v>
      </c>
      <c r="AC922" s="31">
        <f t="shared" si="406"/>
        <v>41799.01</v>
      </c>
      <c r="AD922" s="31">
        <v>150000</v>
      </c>
      <c r="AE922" s="31">
        <v>0</v>
      </c>
      <c r="AF922" s="34">
        <v>2021</v>
      </c>
      <c r="AG922" s="34">
        <v>2021</v>
      </c>
      <c r="AH922" s="35">
        <v>2021</v>
      </c>
      <c r="AT922" s="20" t="e">
        <f t="shared" si="385"/>
        <v>#N/A</v>
      </c>
    </row>
    <row r="923" spans="1:46" ht="61.5" x14ac:dyDescent="0.85">
      <c r="B923" s="24" t="s">
        <v>906</v>
      </c>
      <c r="C923" s="24"/>
      <c r="D923" s="31">
        <f>D924</f>
        <v>3498600</v>
      </c>
      <c r="E923" s="31">
        <f t="shared" ref="E923:AE923" si="407">E924</f>
        <v>0</v>
      </c>
      <c r="F923" s="31">
        <f t="shared" si="407"/>
        <v>0</v>
      </c>
      <c r="G923" s="31">
        <f t="shared" si="407"/>
        <v>0</v>
      </c>
      <c r="H923" s="31">
        <f t="shared" si="407"/>
        <v>0</v>
      </c>
      <c r="I923" s="31">
        <f t="shared" si="407"/>
        <v>0</v>
      </c>
      <c r="J923" s="31">
        <f t="shared" si="407"/>
        <v>0</v>
      </c>
      <c r="K923" s="33">
        <f t="shared" si="407"/>
        <v>0</v>
      </c>
      <c r="L923" s="31">
        <f t="shared" si="407"/>
        <v>0</v>
      </c>
      <c r="M923" s="31">
        <f t="shared" si="407"/>
        <v>686</v>
      </c>
      <c r="N923" s="31">
        <f t="shared" si="407"/>
        <v>3299113.3</v>
      </c>
      <c r="O923" s="31">
        <f t="shared" si="407"/>
        <v>0</v>
      </c>
      <c r="P923" s="31">
        <f t="shared" si="407"/>
        <v>0</v>
      </c>
      <c r="Q923" s="31">
        <f t="shared" si="407"/>
        <v>0</v>
      </c>
      <c r="R923" s="31">
        <f t="shared" si="407"/>
        <v>0</v>
      </c>
      <c r="S923" s="31">
        <f t="shared" si="407"/>
        <v>0</v>
      </c>
      <c r="T923" s="31">
        <f t="shared" si="407"/>
        <v>0</v>
      </c>
      <c r="U923" s="31">
        <f t="shared" si="407"/>
        <v>0</v>
      </c>
      <c r="V923" s="31">
        <f t="shared" si="407"/>
        <v>0</v>
      </c>
      <c r="W923" s="31">
        <f t="shared" si="407"/>
        <v>0</v>
      </c>
      <c r="X923" s="31">
        <f t="shared" si="407"/>
        <v>0</v>
      </c>
      <c r="Y923" s="31">
        <f t="shared" si="407"/>
        <v>0</v>
      </c>
      <c r="Z923" s="31">
        <f t="shared" si="407"/>
        <v>0</v>
      </c>
      <c r="AA923" s="31">
        <f t="shared" si="407"/>
        <v>0</v>
      </c>
      <c r="AB923" s="31">
        <f t="shared" si="407"/>
        <v>0</v>
      </c>
      <c r="AC923" s="31">
        <f t="shared" si="407"/>
        <v>49486.7</v>
      </c>
      <c r="AD923" s="31">
        <f t="shared" si="407"/>
        <v>150000</v>
      </c>
      <c r="AE923" s="31">
        <f t="shared" si="407"/>
        <v>0</v>
      </c>
      <c r="AF923" s="72" t="s">
        <v>794</v>
      </c>
      <c r="AG923" s="72" t="s">
        <v>794</v>
      </c>
      <c r="AH923" s="91" t="s">
        <v>794</v>
      </c>
      <c r="AT923" s="20" t="e">
        <f t="shared" si="385"/>
        <v>#N/A</v>
      </c>
    </row>
    <row r="924" spans="1:46" ht="61.5" x14ac:dyDescent="0.85">
      <c r="A924" s="20">
        <v>1</v>
      </c>
      <c r="B924" s="66">
        <f>SUBTOTAL(103,$A$567:A924)</f>
        <v>304</v>
      </c>
      <c r="C924" s="24" t="s">
        <v>229</v>
      </c>
      <c r="D924" s="31">
        <f t="shared" ref="D924" si="408">E924+F924+G924+H924+I924+J924+L924+N924+P924+R924+T924+U924+V924+W924+X924+Y924+Z924+AA924+AB924+AC924+AD924+AE924</f>
        <v>3498600</v>
      </c>
      <c r="E924" s="31">
        <v>0</v>
      </c>
      <c r="F924" s="31">
        <v>0</v>
      </c>
      <c r="G924" s="31">
        <v>0</v>
      </c>
      <c r="H924" s="31">
        <v>0</v>
      </c>
      <c r="I924" s="31">
        <v>0</v>
      </c>
      <c r="J924" s="31">
        <v>0</v>
      </c>
      <c r="K924" s="33">
        <v>0</v>
      </c>
      <c r="L924" s="31">
        <v>0</v>
      </c>
      <c r="M924" s="31">
        <v>686</v>
      </c>
      <c r="N924" s="31">
        <v>3299113.3</v>
      </c>
      <c r="O924" s="31">
        <v>0</v>
      </c>
      <c r="P924" s="31">
        <v>0</v>
      </c>
      <c r="Q924" s="31">
        <v>0</v>
      </c>
      <c r="R924" s="31">
        <v>0</v>
      </c>
      <c r="S924" s="31">
        <v>0</v>
      </c>
      <c r="T924" s="31">
        <v>0</v>
      </c>
      <c r="U924" s="31">
        <v>0</v>
      </c>
      <c r="V924" s="31">
        <v>0</v>
      </c>
      <c r="W924" s="31">
        <v>0</v>
      </c>
      <c r="X924" s="31">
        <v>0</v>
      </c>
      <c r="Y924" s="31">
        <v>0</v>
      </c>
      <c r="Z924" s="31">
        <v>0</v>
      </c>
      <c r="AA924" s="31">
        <v>0</v>
      </c>
      <c r="AB924" s="31">
        <v>0</v>
      </c>
      <c r="AC924" s="31">
        <f>ROUND(N924*1.5%,2)</f>
        <v>49486.7</v>
      </c>
      <c r="AD924" s="31">
        <v>150000</v>
      </c>
      <c r="AE924" s="31">
        <v>0</v>
      </c>
      <c r="AF924" s="34">
        <v>2021</v>
      </c>
      <c r="AG924" s="34">
        <v>2021</v>
      </c>
      <c r="AH924" s="35">
        <v>2021</v>
      </c>
      <c r="AT924" s="20" t="e">
        <f t="shared" si="385"/>
        <v>#N/A</v>
      </c>
    </row>
    <row r="925" spans="1:46" ht="61.5" x14ac:dyDescent="0.85">
      <c r="B925" s="24" t="s">
        <v>908</v>
      </c>
      <c r="C925" s="24"/>
      <c r="D925" s="31">
        <f>D926</f>
        <v>3230340</v>
      </c>
      <c r="E925" s="31">
        <f t="shared" ref="E925:AE925" si="409">E926</f>
        <v>0</v>
      </c>
      <c r="F925" s="31">
        <f t="shared" si="409"/>
        <v>0</v>
      </c>
      <c r="G925" s="31">
        <f t="shared" si="409"/>
        <v>0</v>
      </c>
      <c r="H925" s="31">
        <f t="shared" si="409"/>
        <v>0</v>
      </c>
      <c r="I925" s="31">
        <f t="shared" si="409"/>
        <v>0</v>
      </c>
      <c r="J925" s="31">
        <f t="shared" si="409"/>
        <v>0</v>
      </c>
      <c r="K925" s="33">
        <f t="shared" si="409"/>
        <v>0</v>
      </c>
      <c r="L925" s="31">
        <f t="shared" si="409"/>
        <v>0</v>
      </c>
      <c r="M925" s="31">
        <f t="shared" si="409"/>
        <v>633.4</v>
      </c>
      <c r="N925" s="31">
        <f t="shared" si="409"/>
        <v>3034817.73</v>
      </c>
      <c r="O925" s="31">
        <f t="shared" si="409"/>
        <v>0</v>
      </c>
      <c r="P925" s="31">
        <f t="shared" si="409"/>
        <v>0</v>
      </c>
      <c r="Q925" s="31">
        <f t="shared" si="409"/>
        <v>0</v>
      </c>
      <c r="R925" s="31">
        <f t="shared" si="409"/>
        <v>0</v>
      </c>
      <c r="S925" s="31">
        <f t="shared" si="409"/>
        <v>0</v>
      </c>
      <c r="T925" s="31">
        <f t="shared" si="409"/>
        <v>0</v>
      </c>
      <c r="U925" s="31">
        <f t="shared" si="409"/>
        <v>0</v>
      </c>
      <c r="V925" s="31">
        <f t="shared" si="409"/>
        <v>0</v>
      </c>
      <c r="W925" s="31">
        <f t="shared" si="409"/>
        <v>0</v>
      </c>
      <c r="X925" s="31">
        <f t="shared" si="409"/>
        <v>0</v>
      </c>
      <c r="Y925" s="31">
        <f t="shared" si="409"/>
        <v>0</v>
      </c>
      <c r="Z925" s="31">
        <f t="shared" si="409"/>
        <v>0</v>
      </c>
      <c r="AA925" s="31">
        <f t="shared" si="409"/>
        <v>0</v>
      </c>
      <c r="AB925" s="31">
        <f t="shared" si="409"/>
        <v>0</v>
      </c>
      <c r="AC925" s="31">
        <f t="shared" si="409"/>
        <v>45522.27</v>
      </c>
      <c r="AD925" s="31">
        <f t="shared" si="409"/>
        <v>150000</v>
      </c>
      <c r="AE925" s="31">
        <f t="shared" si="409"/>
        <v>0</v>
      </c>
      <c r="AF925" s="72" t="s">
        <v>794</v>
      </c>
      <c r="AG925" s="72" t="s">
        <v>794</v>
      </c>
      <c r="AH925" s="91" t="s">
        <v>794</v>
      </c>
      <c r="AT925" s="20" t="e">
        <f t="shared" si="385"/>
        <v>#N/A</v>
      </c>
    </row>
    <row r="926" spans="1:46" ht="61.5" x14ac:dyDescent="0.85">
      <c r="A926" s="20">
        <v>1</v>
      </c>
      <c r="B926" s="66">
        <f>SUBTOTAL(103,$A$567:A926)</f>
        <v>305</v>
      </c>
      <c r="C926" s="24" t="s">
        <v>223</v>
      </c>
      <c r="D926" s="31">
        <f t="shared" ref="D926" si="410">E926+F926+G926+H926+I926+J926+L926+N926+P926+R926+T926+U926+V926+W926+X926+Y926+Z926+AA926+AB926+AC926+AD926+AE926</f>
        <v>3230340</v>
      </c>
      <c r="E926" s="31">
        <v>0</v>
      </c>
      <c r="F926" s="31">
        <v>0</v>
      </c>
      <c r="G926" s="31">
        <v>0</v>
      </c>
      <c r="H926" s="31">
        <v>0</v>
      </c>
      <c r="I926" s="31">
        <v>0</v>
      </c>
      <c r="J926" s="31">
        <v>0</v>
      </c>
      <c r="K926" s="33">
        <v>0</v>
      </c>
      <c r="L926" s="31">
        <v>0</v>
      </c>
      <c r="M926" s="31">
        <v>633.4</v>
      </c>
      <c r="N926" s="31">
        <v>3034817.73</v>
      </c>
      <c r="O926" s="31">
        <v>0</v>
      </c>
      <c r="P926" s="31">
        <v>0</v>
      </c>
      <c r="Q926" s="31">
        <v>0</v>
      </c>
      <c r="R926" s="31">
        <v>0</v>
      </c>
      <c r="S926" s="31">
        <v>0</v>
      </c>
      <c r="T926" s="31">
        <v>0</v>
      </c>
      <c r="U926" s="31">
        <v>0</v>
      </c>
      <c r="V926" s="31">
        <v>0</v>
      </c>
      <c r="W926" s="31">
        <v>0</v>
      </c>
      <c r="X926" s="31">
        <v>0</v>
      </c>
      <c r="Y926" s="31">
        <v>0</v>
      </c>
      <c r="Z926" s="31">
        <v>0</v>
      </c>
      <c r="AA926" s="31">
        <v>0</v>
      </c>
      <c r="AB926" s="31">
        <v>0</v>
      </c>
      <c r="AC926" s="31">
        <f>ROUND(N926*1.5%,2)</f>
        <v>45522.27</v>
      </c>
      <c r="AD926" s="31">
        <v>150000</v>
      </c>
      <c r="AE926" s="31">
        <v>0</v>
      </c>
      <c r="AF926" s="34">
        <v>2021</v>
      </c>
      <c r="AG926" s="34">
        <v>2021</v>
      </c>
      <c r="AH926" s="35">
        <v>2021</v>
      </c>
      <c r="AT926" s="20" t="e">
        <f t="shared" si="385"/>
        <v>#N/A</v>
      </c>
    </row>
    <row r="927" spans="1:46" ht="61.5" x14ac:dyDescent="0.85">
      <c r="B927" s="24" t="s">
        <v>798</v>
      </c>
      <c r="C927" s="75"/>
      <c r="D927" s="31">
        <f t="shared" ref="D927:AE927" si="411">D928+D987+D1002+D1030+D1042+D1045+D1054+D1058+D1061+D1064+D1066+D1068+D1071+D1073+D1075+D1083+D1086+D1088+D1090+D1092+D1094+D1097+D1099+D1101+D1103+D1110+D1113+D1117+D1120+D1122+D1126+D1128+D1130+D1132+D1134+D1136+D1138+D1142+D1144+D1146+D1148+D1152+D1154+D1156+D1158+D1161+D1164+D1168+D1173+D1176+D1178+D1180+D1183+D1187+D1189+D1191+D1193+D1197</f>
        <v>791169161.6500001</v>
      </c>
      <c r="E927" s="31">
        <f t="shared" si="411"/>
        <v>1015422.23</v>
      </c>
      <c r="F927" s="31">
        <f t="shared" si="411"/>
        <v>2254171.34</v>
      </c>
      <c r="G927" s="31">
        <f t="shared" si="411"/>
        <v>7536629.54</v>
      </c>
      <c r="H927" s="31">
        <f t="shared" si="411"/>
        <v>2087824.54</v>
      </c>
      <c r="I927" s="31">
        <f t="shared" si="411"/>
        <v>6237173.6699999999</v>
      </c>
      <c r="J927" s="31">
        <f t="shared" si="411"/>
        <v>0</v>
      </c>
      <c r="K927" s="33">
        <f t="shared" si="411"/>
        <v>21</v>
      </c>
      <c r="L927" s="31">
        <f t="shared" si="411"/>
        <v>44804557.730000004</v>
      </c>
      <c r="M927" s="31">
        <f t="shared" si="411"/>
        <v>134083.41569241002</v>
      </c>
      <c r="N927" s="31">
        <f t="shared" si="411"/>
        <v>623567482.39999974</v>
      </c>
      <c r="O927" s="31">
        <f t="shared" si="411"/>
        <v>146</v>
      </c>
      <c r="P927" s="31">
        <f t="shared" si="411"/>
        <v>365939.61</v>
      </c>
      <c r="Q927" s="31">
        <f t="shared" si="411"/>
        <v>18006.22</v>
      </c>
      <c r="R927" s="31">
        <f t="shared" si="411"/>
        <v>57642519.809999987</v>
      </c>
      <c r="S927" s="31">
        <f t="shared" si="411"/>
        <v>425.77</v>
      </c>
      <c r="T927" s="31">
        <f t="shared" si="411"/>
        <v>14228739.940000001</v>
      </c>
      <c r="U927" s="31">
        <f t="shared" si="411"/>
        <v>2812475.02</v>
      </c>
      <c r="V927" s="31">
        <f t="shared" si="411"/>
        <v>0</v>
      </c>
      <c r="W927" s="31">
        <f t="shared" si="411"/>
        <v>0</v>
      </c>
      <c r="X927" s="31">
        <f t="shared" si="411"/>
        <v>0</v>
      </c>
      <c r="Y927" s="31">
        <f t="shared" si="411"/>
        <v>0</v>
      </c>
      <c r="Z927" s="31">
        <f t="shared" si="411"/>
        <v>0</v>
      </c>
      <c r="AA927" s="31">
        <f t="shared" si="411"/>
        <v>0</v>
      </c>
      <c r="AB927" s="31">
        <f t="shared" si="411"/>
        <v>0</v>
      </c>
      <c r="AC927" s="31">
        <f t="shared" si="411"/>
        <v>10766225.819999998</v>
      </c>
      <c r="AD927" s="31">
        <f t="shared" si="411"/>
        <v>17490000</v>
      </c>
      <c r="AE927" s="31">
        <f t="shared" si="411"/>
        <v>360000</v>
      </c>
      <c r="AF927" s="72" t="s">
        <v>794</v>
      </c>
      <c r="AG927" s="72" t="s">
        <v>794</v>
      </c>
      <c r="AH927" s="91" t="s">
        <v>794</v>
      </c>
      <c r="AT927" s="20" t="e">
        <f t="shared" si="385"/>
        <v>#N/A</v>
      </c>
    </row>
    <row r="928" spans="1:46" ht="61.5" x14ac:dyDescent="0.85">
      <c r="B928" s="24" t="s">
        <v>1159</v>
      </c>
      <c r="C928" s="117"/>
      <c r="D928" s="31">
        <f t="shared" ref="D928:AE928" si="412">SUM(D929:D986)</f>
        <v>216853215.33000001</v>
      </c>
      <c r="E928" s="31">
        <f t="shared" si="412"/>
        <v>0</v>
      </c>
      <c r="F928" s="31">
        <f t="shared" si="412"/>
        <v>0</v>
      </c>
      <c r="G928" s="31">
        <f t="shared" si="412"/>
        <v>0</v>
      </c>
      <c r="H928" s="31">
        <f t="shared" si="412"/>
        <v>0</v>
      </c>
      <c r="I928" s="31">
        <f t="shared" si="412"/>
        <v>0</v>
      </c>
      <c r="J928" s="31">
        <f t="shared" si="412"/>
        <v>0</v>
      </c>
      <c r="K928" s="33">
        <f t="shared" si="412"/>
        <v>8</v>
      </c>
      <c r="L928" s="31">
        <f t="shared" si="412"/>
        <v>16991892.609999999</v>
      </c>
      <c r="M928" s="31">
        <f t="shared" si="412"/>
        <v>42246.850000000006</v>
      </c>
      <c r="N928" s="31">
        <f t="shared" si="412"/>
        <v>187071080.51999995</v>
      </c>
      <c r="O928" s="31">
        <f t="shared" si="412"/>
        <v>0</v>
      </c>
      <c r="P928" s="31">
        <f t="shared" si="412"/>
        <v>0</v>
      </c>
      <c r="Q928" s="31">
        <f t="shared" si="412"/>
        <v>2961</v>
      </c>
      <c r="R928" s="31">
        <f t="shared" si="412"/>
        <v>9836626.4299999997</v>
      </c>
      <c r="S928" s="31">
        <f t="shared" si="412"/>
        <v>0</v>
      </c>
      <c r="T928" s="31">
        <f t="shared" si="412"/>
        <v>0</v>
      </c>
      <c r="U928" s="31">
        <f t="shared" si="412"/>
        <v>0</v>
      </c>
      <c r="V928" s="31">
        <f t="shared" si="412"/>
        <v>0</v>
      </c>
      <c r="W928" s="31">
        <f t="shared" si="412"/>
        <v>0</v>
      </c>
      <c r="X928" s="31">
        <f t="shared" si="412"/>
        <v>0</v>
      </c>
      <c r="Y928" s="31">
        <f t="shared" si="412"/>
        <v>0</v>
      </c>
      <c r="Z928" s="31">
        <f t="shared" si="412"/>
        <v>0</v>
      </c>
      <c r="AA928" s="31">
        <f t="shared" si="412"/>
        <v>0</v>
      </c>
      <c r="AB928" s="31">
        <f t="shared" si="412"/>
        <v>0</v>
      </c>
      <c r="AC928" s="31">
        <f t="shared" si="412"/>
        <v>2953615.7699999996</v>
      </c>
      <c r="AD928" s="31">
        <f t="shared" si="412"/>
        <v>0</v>
      </c>
      <c r="AE928" s="31">
        <f t="shared" si="412"/>
        <v>0</v>
      </c>
      <c r="AF928" s="72" t="s">
        <v>794</v>
      </c>
      <c r="AG928" s="72" t="s">
        <v>794</v>
      </c>
      <c r="AH928" s="91" t="s">
        <v>794</v>
      </c>
      <c r="AT928" s="20" t="e">
        <f t="shared" si="385"/>
        <v>#N/A</v>
      </c>
    </row>
    <row r="929" spans="1:46" ht="61.5" x14ac:dyDescent="0.85">
      <c r="A929" s="20">
        <v>1</v>
      </c>
      <c r="B929" s="66">
        <f>SUBTOTAL(103,$A$929:A929)</f>
        <v>1</v>
      </c>
      <c r="C929" s="24" t="s">
        <v>591</v>
      </c>
      <c r="D929" s="31">
        <f t="shared" ref="D929:D986" si="413">E929+F929+G929+H929+I929+J929+L929+N929+P929+R929+T929+U929+V929+W929+X929+Y929+Z929+AA929+AB929+AC929+AD929+AE929</f>
        <v>3147713.25</v>
      </c>
      <c r="E929" s="31">
        <v>0</v>
      </c>
      <c r="F929" s="31">
        <v>0</v>
      </c>
      <c r="G929" s="31">
        <v>0</v>
      </c>
      <c r="H929" s="31">
        <v>0</v>
      </c>
      <c r="I929" s="31">
        <v>0</v>
      </c>
      <c r="J929" s="31">
        <v>0</v>
      </c>
      <c r="K929" s="33">
        <v>0</v>
      </c>
      <c r="L929" s="31">
        <v>0</v>
      </c>
      <c r="M929" s="31">
        <v>736</v>
      </c>
      <c r="N929" s="31">
        <v>3101195.32</v>
      </c>
      <c r="O929" s="31">
        <v>0</v>
      </c>
      <c r="P929" s="31">
        <v>0</v>
      </c>
      <c r="Q929" s="31">
        <v>0</v>
      </c>
      <c r="R929" s="31">
        <v>0</v>
      </c>
      <c r="S929" s="31">
        <v>0</v>
      </c>
      <c r="T929" s="31">
        <v>0</v>
      </c>
      <c r="U929" s="31">
        <v>0</v>
      </c>
      <c r="V929" s="31">
        <v>0</v>
      </c>
      <c r="W929" s="31">
        <v>0</v>
      </c>
      <c r="X929" s="31">
        <v>0</v>
      </c>
      <c r="Y929" s="31">
        <v>0</v>
      </c>
      <c r="Z929" s="31">
        <v>0</v>
      </c>
      <c r="AA929" s="31">
        <v>0</v>
      </c>
      <c r="AB929" s="31">
        <v>0</v>
      </c>
      <c r="AC929" s="31">
        <f t="shared" ref="AC929:AC952" si="414">ROUND(N929*1.5%,2)</f>
        <v>46517.93</v>
      </c>
      <c r="AD929" s="31">
        <v>0</v>
      </c>
      <c r="AE929" s="31">
        <v>0</v>
      </c>
      <c r="AF929" s="34" t="s">
        <v>274</v>
      </c>
      <c r="AG929" s="34">
        <v>2022</v>
      </c>
      <c r="AH929" s="35">
        <v>2022</v>
      </c>
      <c r="AT929" s="20" t="e">
        <f t="shared" si="385"/>
        <v>#N/A</v>
      </c>
    </row>
    <row r="930" spans="1:46" ht="61.5" x14ac:dyDescent="0.85">
      <c r="A930" s="20">
        <v>1</v>
      </c>
      <c r="B930" s="66">
        <f>SUBTOTAL(103,$A$929:A930)</f>
        <v>2</v>
      </c>
      <c r="C930" s="24" t="s">
        <v>592</v>
      </c>
      <c r="D930" s="31">
        <f t="shared" si="413"/>
        <v>1023224.5700000001</v>
      </c>
      <c r="E930" s="31">
        <v>0</v>
      </c>
      <c r="F930" s="31">
        <v>0</v>
      </c>
      <c r="G930" s="31">
        <v>0</v>
      </c>
      <c r="H930" s="31">
        <v>0</v>
      </c>
      <c r="I930" s="31">
        <v>0</v>
      </c>
      <c r="J930" s="31">
        <v>0</v>
      </c>
      <c r="K930" s="33">
        <v>0</v>
      </c>
      <c r="L930" s="31">
        <v>0</v>
      </c>
      <c r="M930" s="31">
        <v>230</v>
      </c>
      <c r="N930" s="31">
        <v>1008103.02</v>
      </c>
      <c r="O930" s="31">
        <v>0</v>
      </c>
      <c r="P930" s="31">
        <v>0</v>
      </c>
      <c r="Q930" s="31">
        <v>0</v>
      </c>
      <c r="R930" s="31">
        <v>0</v>
      </c>
      <c r="S930" s="31">
        <v>0</v>
      </c>
      <c r="T930" s="31">
        <v>0</v>
      </c>
      <c r="U930" s="31">
        <v>0</v>
      </c>
      <c r="V930" s="31">
        <v>0</v>
      </c>
      <c r="W930" s="31">
        <v>0</v>
      </c>
      <c r="X930" s="31">
        <v>0</v>
      </c>
      <c r="Y930" s="31">
        <v>0</v>
      </c>
      <c r="Z930" s="31">
        <v>0</v>
      </c>
      <c r="AA930" s="31">
        <v>0</v>
      </c>
      <c r="AB930" s="31">
        <v>0</v>
      </c>
      <c r="AC930" s="31">
        <f t="shared" si="414"/>
        <v>15121.55</v>
      </c>
      <c r="AD930" s="31">
        <v>0</v>
      </c>
      <c r="AE930" s="31">
        <v>0</v>
      </c>
      <c r="AF930" s="34" t="s">
        <v>274</v>
      </c>
      <c r="AG930" s="34">
        <v>2022</v>
      </c>
      <c r="AH930" s="35">
        <v>2022</v>
      </c>
      <c r="AT930" s="20" t="e">
        <f t="shared" si="385"/>
        <v>#N/A</v>
      </c>
    </row>
    <row r="931" spans="1:46" ht="61.5" x14ac:dyDescent="0.85">
      <c r="A931" s="20">
        <v>1</v>
      </c>
      <c r="B931" s="66">
        <f>SUBTOTAL(103,$A$929:A931)</f>
        <v>3</v>
      </c>
      <c r="C931" s="24" t="s">
        <v>1133</v>
      </c>
      <c r="D931" s="31">
        <f t="shared" si="413"/>
        <v>2100000</v>
      </c>
      <c r="E931" s="31">
        <v>0</v>
      </c>
      <c r="F931" s="31">
        <v>0</v>
      </c>
      <c r="G931" s="31">
        <v>0</v>
      </c>
      <c r="H931" s="31">
        <v>0</v>
      </c>
      <c r="I931" s="31">
        <v>0</v>
      </c>
      <c r="J931" s="31">
        <v>0</v>
      </c>
      <c r="K931" s="33">
        <v>0</v>
      </c>
      <c r="L931" s="31">
        <v>0</v>
      </c>
      <c r="M931" s="31">
        <v>412</v>
      </c>
      <c r="N931" s="31">
        <v>2068965.52</v>
      </c>
      <c r="O931" s="31">
        <v>0</v>
      </c>
      <c r="P931" s="31">
        <v>0</v>
      </c>
      <c r="Q931" s="31">
        <v>0</v>
      </c>
      <c r="R931" s="31">
        <v>0</v>
      </c>
      <c r="S931" s="31">
        <v>0</v>
      </c>
      <c r="T931" s="31">
        <v>0</v>
      </c>
      <c r="U931" s="31">
        <v>0</v>
      </c>
      <c r="V931" s="31">
        <v>0</v>
      </c>
      <c r="W931" s="31">
        <v>0</v>
      </c>
      <c r="X931" s="31">
        <v>0</v>
      </c>
      <c r="Y931" s="31">
        <v>0</v>
      </c>
      <c r="Z931" s="31">
        <v>0</v>
      </c>
      <c r="AA931" s="31">
        <v>0</v>
      </c>
      <c r="AB931" s="31">
        <v>0</v>
      </c>
      <c r="AC931" s="31">
        <f t="shared" si="414"/>
        <v>31034.48</v>
      </c>
      <c r="AD931" s="31">
        <v>0</v>
      </c>
      <c r="AE931" s="31">
        <v>0</v>
      </c>
      <c r="AF931" s="34" t="s">
        <v>274</v>
      </c>
      <c r="AG931" s="34">
        <v>2022</v>
      </c>
      <c r="AH931" s="35">
        <v>2022</v>
      </c>
      <c r="AT931" s="20" t="e">
        <f t="shared" si="385"/>
        <v>#N/A</v>
      </c>
    </row>
    <row r="932" spans="1:46" ht="61.5" x14ac:dyDescent="0.85">
      <c r="A932" s="20">
        <v>1</v>
      </c>
      <c r="B932" s="66">
        <f>SUBTOTAL(103,$A$929:A932)</f>
        <v>4</v>
      </c>
      <c r="C932" s="24" t="s">
        <v>593</v>
      </c>
      <c r="D932" s="31">
        <f t="shared" si="413"/>
        <v>3183875.94</v>
      </c>
      <c r="E932" s="31">
        <v>0</v>
      </c>
      <c r="F932" s="31">
        <v>0</v>
      </c>
      <c r="G932" s="31">
        <v>0</v>
      </c>
      <c r="H932" s="31">
        <v>0</v>
      </c>
      <c r="I932" s="31">
        <v>0</v>
      </c>
      <c r="J932" s="31">
        <v>0</v>
      </c>
      <c r="K932" s="33">
        <v>0</v>
      </c>
      <c r="L932" s="31">
        <v>0</v>
      </c>
      <c r="M932" s="31">
        <v>722</v>
      </c>
      <c r="N932" s="31">
        <v>3136823.59</v>
      </c>
      <c r="O932" s="31">
        <v>0</v>
      </c>
      <c r="P932" s="31">
        <v>0</v>
      </c>
      <c r="Q932" s="31">
        <v>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1">
        <v>0</v>
      </c>
      <c r="Y932" s="31">
        <v>0</v>
      </c>
      <c r="Z932" s="31">
        <v>0</v>
      </c>
      <c r="AA932" s="31">
        <v>0</v>
      </c>
      <c r="AB932" s="31">
        <v>0</v>
      </c>
      <c r="AC932" s="31">
        <f t="shared" si="414"/>
        <v>47052.35</v>
      </c>
      <c r="AD932" s="31">
        <v>0</v>
      </c>
      <c r="AE932" s="31">
        <v>0</v>
      </c>
      <c r="AF932" s="34" t="s">
        <v>274</v>
      </c>
      <c r="AG932" s="34">
        <v>2022</v>
      </c>
      <c r="AH932" s="35">
        <v>2022</v>
      </c>
      <c r="AT932" s="20" t="e">
        <f t="shared" si="385"/>
        <v>#N/A</v>
      </c>
    </row>
    <row r="933" spans="1:46" ht="61.5" x14ac:dyDescent="0.85">
      <c r="A933" s="20">
        <v>1</v>
      </c>
      <c r="B933" s="66">
        <f>SUBTOTAL(103,$A$929:A933)</f>
        <v>5</v>
      </c>
      <c r="C933" s="24" t="s">
        <v>594</v>
      </c>
      <c r="D933" s="31">
        <f t="shared" si="413"/>
        <v>1598353.21</v>
      </c>
      <c r="E933" s="31">
        <v>0</v>
      </c>
      <c r="F933" s="31">
        <v>0</v>
      </c>
      <c r="G933" s="31">
        <v>0</v>
      </c>
      <c r="H933" s="31">
        <v>0</v>
      </c>
      <c r="I933" s="31">
        <v>0</v>
      </c>
      <c r="J933" s="31">
        <v>0</v>
      </c>
      <c r="K933" s="33">
        <v>0</v>
      </c>
      <c r="L933" s="31">
        <v>0</v>
      </c>
      <c r="M933" s="31">
        <v>351</v>
      </c>
      <c r="N933" s="31">
        <v>1574732.23</v>
      </c>
      <c r="O933" s="31">
        <v>0</v>
      </c>
      <c r="P933" s="31">
        <v>0</v>
      </c>
      <c r="Q933" s="31">
        <v>0</v>
      </c>
      <c r="R933" s="31">
        <v>0</v>
      </c>
      <c r="S933" s="31">
        <v>0</v>
      </c>
      <c r="T933" s="31">
        <v>0</v>
      </c>
      <c r="U933" s="31">
        <v>0</v>
      </c>
      <c r="V933" s="31">
        <v>0</v>
      </c>
      <c r="W933" s="31">
        <v>0</v>
      </c>
      <c r="X933" s="31">
        <v>0</v>
      </c>
      <c r="Y933" s="31">
        <v>0</v>
      </c>
      <c r="Z933" s="31">
        <v>0</v>
      </c>
      <c r="AA933" s="31">
        <v>0</v>
      </c>
      <c r="AB933" s="31">
        <v>0</v>
      </c>
      <c r="AC933" s="31">
        <f t="shared" si="414"/>
        <v>23620.98</v>
      </c>
      <c r="AD933" s="31">
        <v>0</v>
      </c>
      <c r="AE933" s="31">
        <v>0</v>
      </c>
      <c r="AF933" s="34" t="s">
        <v>274</v>
      </c>
      <c r="AG933" s="34">
        <v>2022</v>
      </c>
      <c r="AH933" s="35">
        <v>2022</v>
      </c>
      <c r="AT933" s="20" t="e">
        <f t="shared" si="385"/>
        <v>#N/A</v>
      </c>
    </row>
    <row r="934" spans="1:46" ht="61.5" x14ac:dyDescent="0.85">
      <c r="A934" s="20">
        <v>1</v>
      </c>
      <c r="B934" s="66">
        <f>SUBTOTAL(103,$A$929:A934)</f>
        <v>6</v>
      </c>
      <c r="C934" s="24" t="s">
        <v>595</v>
      </c>
      <c r="D934" s="31">
        <f t="shared" si="413"/>
        <v>5391207.6599999992</v>
      </c>
      <c r="E934" s="31">
        <v>0</v>
      </c>
      <c r="F934" s="31">
        <v>0</v>
      </c>
      <c r="G934" s="31">
        <v>0</v>
      </c>
      <c r="H934" s="31">
        <v>0</v>
      </c>
      <c r="I934" s="31">
        <v>0</v>
      </c>
      <c r="J934" s="31">
        <v>0</v>
      </c>
      <c r="K934" s="33">
        <v>0</v>
      </c>
      <c r="L934" s="31">
        <v>0</v>
      </c>
      <c r="M934" s="31">
        <v>1200</v>
      </c>
      <c r="N934" s="31">
        <v>5311534.6399999997</v>
      </c>
      <c r="O934" s="31">
        <v>0</v>
      </c>
      <c r="P934" s="31">
        <v>0</v>
      </c>
      <c r="Q934" s="31">
        <v>0</v>
      </c>
      <c r="R934" s="31">
        <v>0</v>
      </c>
      <c r="S934" s="31">
        <v>0</v>
      </c>
      <c r="T934" s="31">
        <v>0</v>
      </c>
      <c r="U934" s="31">
        <v>0</v>
      </c>
      <c r="V934" s="31">
        <v>0</v>
      </c>
      <c r="W934" s="31">
        <v>0</v>
      </c>
      <c r="X934" s="31">
        <v>0</v>
      </c>
      <c r="Y934" s="31">
        <v>0</v>
      </c>
      <c r="Z934" s="31">
        <v>0</v>
      </c>
      <c r="AA934" s="31">
        <v>0</v>
      </c>
      <c r="AB934" s="31">
        <v>0</v>
      </c>
      <c r="AC934" s="31">
        <f t="shared" si="414"/>
        <v>79673.02</v>
      </c>
      <c r="AD934" s="31">
        <v>0</v>
      </c>
      <c r="AE934" s="31">
        <v>0</v>
      </c>
      <c r="AF934" s="34" t="s">
        <v>274</v>
      </c>
      <c r="AG934" s="34">
        <v>2022</v>
      </c>
      <c r="AH934" s="35">
        <v>2022</v>
      </c>
      <c r="AT934" s="20" t="e">
        <f t="shared" si="385"/>
        <v>#N/A</v>
      </c>
    </row>
    <row r="935" spans="1:46" ht="61.5" x14ac:dyDescent="0.85">
      <c r="A935" s="20">
        <v>1</v>
      </c>
      <c r="B935" s="66">
        <f>SUBTOTAL(103,$A$929:A935)</f>
        <v>7</v>
      </c>
      <c r="C935" s="24" t="s">
        <v>596</v>
      </c>
      <c r="D935" s="31">
        <f t="shared" si="413"/>
        <v>1896320.0799999998</v>
      </c>
      <c r="E935" s="31">
        <v>0</v>
      </c>
      <c r="F935" s="31">
        <v>0</v>
      </c>
      <c r="G935" s="31">
        <v>0</v>
      </c>
      <c r="H935" s="31">
        <v>0</v>
      </c>
      <c r="I935" s="31">
        <v>0</v>
      </c>
      <c r="J935" s="31">
        <v>0</v>
      </c>
      <c r="K935" s="33">
        <v>0</v>
      </c>
      <c r="L935" s="31">
        <v>0</v>
      </c>
      <c r="M935" s="31">
        <v>420</v>
      </c>
      <c r="N935" s="31">
        <v>1868295.65</v>
      </c>
      <c r="O935" s="31">
        <v>0</v>
      </c>
      <c r="P935" s="31">
        <v>0</v>
      </c>
      <c r="Q935" s="31">
        <v>0</v>
      </c>
      <c r="R935" s="31">
        <v>0</v>
      </c>
      <c r="S935" s="31">
        <v>0</v>
      </c>
      <c r="T935" s="31">
        <v>0</v>
      </c>
      <c r="U935" s="31">
        <v>0</v>
      </c>
      <c r="V935" s="31">
        <v>0</v>
      </c>
      <c r="W935" s="31">
        <v>0</v>
      </c>
      <c r="X935" s="31">
        <v>0</v>
      </c>
      <c r="Y935" s="31">
        <v>0</v>
      </c>
      <c r="Z935" s="31">
        <v>0</v>
      </c>
      <c r="AA935" s="31">
        <v>0</v>
      </c>
      <c r="AB935" s="31">
        <v>0</v>
      </c>
      <c r="AC935" s="31">
        <f t="shared" si="414"/>
        <v>28024.43</v>
      </c>
      <c r="AD935" s="31">
        <v>0</v>
      </c>
      <c r="AE935" s="31">
        <v>0</v>
      </c>
      <c r="AF935" s="34" t="s">
        <v>274</v>
      </c>
      <c r="AG935" s="34">
        <v>2022</v>
      </c>
      <c r="AH935" s="35">
        <v>2022</v>
      </c>
      <c r="AT935" s="20" t="e">
        <f t="shared" si="385"/>
        <v>#N/A</v>
      </c>
    </row>
    <row r="936" spans="1:46" ht="61.5" x14ac:dyDescent="0.85">
      <c r="A936" s="20">
        <v>1</v>
      </c>
      <c r="B936" s="66">
        <f>SUBTOTAL(103,$A$929:A936)</f>
        <v>8</v>
      </c>
      <c r="C936" s="24" t="s">
        <v>597</v>
      </c>
      <c r="D936" s="31">
        <f t="shared" si="413"/>
        <v>2718609.5</v>
      </c>
      <c r="E936" s="31">
        <v>0</v>
      </c>
      <c r="F936" s="31">
        <v>0</v>
      </c>
      <c r="G936" s="31">
        <v>0</v>
      </c>
      <c r="H936" s="31">
        <v>0</v>
      </c>
      <c r="I936" s="31">
        <v>0</v>
      </c>
      <c r="J936" s="31">
        <v>0</v>
      </c>
      <c r="K936" s="33">
        <v>0</v>
      </c>
      <c r="L936" s="31">
        <v>0</v>
      </c>
      <c r="M936" s="31">
        <v>593</v>
      </c>
      <c r="N936" s="31">
        <v>2678433</v>
      </c>
      <c r="O936" s="31">
        <v>0</v>
      </c>
      <c r="P936" s="31">
        <v>0</v>
      </c>
      <c r="Q936" s="31">
        <v>0</v>
      </c>
      <c r="R936" s="31">
        <v>0</v>
      </c>
      <c r="S936" s="31">
        <v>0</v>
      </c>
      <c r="T936" s="31">
        <v>0</v>
      </c>
      <c r="U936" s="31">
        <v>0</v>
      </c>
      <c r="V936" s="31">
        <v>0</v>
      </c>
      <c r="W936" s="31">
        <v>0</v>
      </c>
      <c r="X936" s="31">
        <v>0</v>
      </c>
      <c r="Y936" s="31">
        <v>0</v>
      </c>
      <c r="Z936" s="31">
        <v>0</v>
      </c>
      <c r="AA936" s="31">
        <v>0</v>
      </c>
      <c r="AB936" s="31">
        <v>0</v>
      </c>
      <c r="AC936" s="31">
        <f t="shared" si="414"/>
        <v>40176.5</v>
      </c>
      <c r="AD936" s="31">
        <v>0</v>
      </c>
      <c r="AE936" s="31">
        <v>0</v>
      </c>
      <c r="AF936" s="34" t="s">
        <v>274</v>
      </c>
      <c r="AG936" s="34">
        <v>2022</v>
      </c>
      <c r="AH936" s="35">
        <v>2022</v>
      </c>
      <c r="AT936" s="20" t="e">
        <f t="shared" ref="AT936:AT967" si="415">VLOOKUP(C936,AW:AX,2,FALSE)</f>
        <v>#N/A</v>
      </c>
    </row>
    <row r="937" spans="1:46" ht="61.5" x14ac:dyDescent="0.85">
      <c r="A937" s="20">
        <v>1</v>
      </c>
      <c r="B937" s="66">
        <f>SUBTOTAL(103,$A$929:A937)</f>
        <v>9</v>
      </c>
      <c r="C937" s="24" t="s">
        <v>598</v>
      </c>
      <c r="D937" s="31">
        <f t="shared" si="413"/>
        <v>3653990.26</v>
      </c>
      <c r="E937" s="31">
        <v>0</v>
      </c>
      <c r="F937" s="31">
        <v>0</v>
      </c>
      <c r="G937" s="31">
        <v>0</v>
      </c>
      <c r="H937" s="31">
        <v>0</v>
      </c>
      <c r="I937" s="31">
        <v>0</v>
      </c>
      <c r="J937" s="31">
        <v>0</v>
      </c>
      <c r="K937" s="33">
        <v>0</v>
      </c>
      <c r="L937" s="31">
        <v>0</v>
      </c>
      <c r="M937" s="31">
        <v>794</v>
      </c>
      <c r="N937" s="31">
        <v>3599990.4</v>
      </c>
      <c r="O937" s="31">
        <v>0</v>
      </c>
      <c r="P937" s="31">
        <v>0</v>
      </c>
      <c r="Q937" s="31">
        <v>0</v>
      </c>
      <c r="R937" s="31">
        <v>0</v>
      </c>
      <c r="S937" s="31">
        <v>0</v>
      </c>
      <c r="T937" s="31">
        <v>0</v>
      </c>
      <c r="U937" s="31">
        <v>0</v>
      </c>
      <c r="V937" s="31">
        <v>0</v>
      </c>
      <c r="W937" s="31">
        <v>0</v>
      </c>
      <c r="X937" s="31">
        <v>0</v>
      </c>
      <c r="Y937" s="31">
        <v>0</v>
      </c>
      <c r="Z937" s="31">
        <v>0</v>
      </c>
      <c r="AA937" s="31">
        <v>0</v>
      </c>
      <c r="AB937" s="31">
        <v>0</v>
      </c>
      <c r="AC937" s="31">
        <f t="shared" si="414"/>
        <v>53999.86</v>
      </c>
      <c r="AD937" s="31">
        <v>0</v>
      </c>
      <c r="AE937" s="31">
        <v>0</v>
      </c>
      <c r="AF937" s="34" t="s">
        <v>274</v>
      </c>
      <c r="AG937" s="34">
        <v>2022</v>
      </c>
      <c r="AH937" s="35">
        <v>2022</v>
      </c>
      <c r="AT937" s="20" t="e">
        <f t="shared" si="415"/>
        <v>#N/A</v>
      </c>
    </row>
    <row r="938" spans="1:46" ht="61.5" x14ac:dyDescent="0.85">
      <c r="A938" s="20">
        <v>1</v>
      </c>
      <c r="B938" s="66">
        <f>SUBTOTAL(103,$A$929:A938)</f>
        <v>10</v>
      </c>
      <c r="C938" s="24" t="s">
        <v>599</v>
      </c>
      <c r="D938" s="31">
        <f t="shared" si="413"/>
        <v>6464995.3799999999</v>
      </c>
      <c r="E938" s="31">
        <v>0</v>
      </c>
      <c r="F938" s="31">
        <v>0</v>
      </c>
      <c r="G938" s="31">
        <v>0</v>
      </c>
      <c r="H938" s="31">
        <v>0</v>
      </c>
      <c r="I938" s="31">
        <v>0</v>
      </c>
      <c r="J938" s="31">
        <v>0</v>
      </c>
      <c r="K938" s="33">
        <v>0</v>
      </c>
      <c r="L938" s="31">
        <v>0</v>
      </c>
      <c r="M938" s="31">
        <v>1385.4</v>
      </c>
      <c r="N938" s="31">
        <v>6369453.5800000001</v>
      </c>
      <c r="O938" s="31">
        <v>0</v>
      </c>
      <c r="P938" s="31">
        <v>0</v>
      </c>
      <c r="Q938" s="31">
        <v>0</v>
      </c>
      <c r="R938" s="31">
        <v>0</v>
      </c>
      <c r="S938" s="31">
        <v>0</v>
      </c>
      <c r="T938" s="31">
        <v>0</v>
      </c>
      <c r="U938" s="31">
        <v>0</v>
      </c>
      <c r="V938" s="31">
        <v>0</v>
      </c>
      <c r="W938" s="31">
        <v>0</v>
      </c>
      <c r="X938" s="31">
        <v>0</v>
      </c>
      <c r="Y938" s="31">
        <v>0</v>
      </c>
      <c r="Z938" s="31">
        <v>0</v>
      </c>
      <c r="AA938" s="31">
        <v>0</v>
      </c>
      <c r="AB938" s="31">
        <v>0</v>
      </c>
      <c r="AC938" s="31">
        <f t="shared" si="414"/>
        <v>95541.8</v>
      </c>
      <c r="AD938" s="31">
        <v>0</v>
      </c>
      <c r="AE938" s="31">
        <v>0</v>
      </c>
      <c r="AF938" s="34" t="s">
        <v>274</v>
      </c>
      <c r="AG938" s="34">
        <v>2022</v>
      </c>
      <c r="AH938" s="35">
        <v>2022</v>
      </c>
      <c r="AT938" s="20" t="e">
        <f t="shared" si="415"/>
        <v>#N/A</v>
      </c>
    </row>
    <row r="939" spans="1:46" ht="61.5" x14ac:dyDescent="0.85">
      <c r="A939" s="20">
        <v>1</v>
      </c>
      <c r="B939" s="66">
        <f>SUBTOTAL(103,$A$929:A939)</f>
        <v>11</v>
      </c>
      <c r="C939" s="24" t="s">
        <v>600</v>
      </c>
      <c r="D939" s="31">
        <f t="shared" si="413"/>
        <v>3493332.35</v>
      </c>
      <c r="E939" s="31">
        <v>0</v>
      </c>
      <c r="F939" s="31">
        <v>0</v>
      </c>
      <c r="G939" s="31">
        <v>0</v>
      </c>
      <c r="H939" s="31">
        <v>0</v>
      </c>
      <c r="I939" s="31">
        <v>0</v>
      </c>
      <c r="J939" s="31">
        <v>0</v>
      </c>
      <c r="K939" s="33">
        <v>0</v>
      </c>
      <c r="L939" s="31">
        <v>0</v>
      </c>
      <c r="M939" s="31">
        <v>760.2</v>
      </c>
      <c r="N939" s="31">
        <v>3441706.75</v>
      </c>
      <c r="O939" s="31">
        <v>0</v>
      </c>
      <c r="P939" s="31">
        <v>0</v>
      </c>
      <c r="Q939" s="31">
        <v>0</v>
      </c>
      <c r="R939" s="31">
        <v>0</v>
      </c>
      <c r="S939" s="31">
        <v>0</v>
      </c>
      <c r="T939" s="31">
        <v>0</v>
      </c>
      <c r="U939" s="31">
        <v>0</v>
      </c>
      <c r="V939" s="31">
        <v>0</v>
      </c>
      <c r="W939" s="31">
        <v>0</v>
      </c>
      <c r="X939" s="31">
        <v>0</v>
      </c>
      <c r="Y939" s="31">
        <v>0</v>
      </c>
      <c r="Z939" s="31">
        <v>0</v>
      </c>
      <c r="AA939" s="31">
        <v>0</v>
      </c>
      <c r="AB939" s="31">
        <v>0</v>
      </c>
      <c r="AC939" s="31">
        <f t="shared" si="414"/>
        <v>51625.599999999999</v>
      </c>
      <c r="AD939" s="31">
        <v>0</v>
      </c>
      <c r="AE939" s="31">
        <v>0</v>
      </c>
      <c r="AF939" s="34" t="s">
        <v>274</v>
      </c>
      <c r="AG939" s="34">
        <v>2022</v>
      </c>
      <c r="AH939" s="35">
        <v>2022</v>
      </c>
      <c r="AT939" s="20" t="e">
        <f t="shared" si="415"/>
        <v>#N/A</v>
      </c>
    </row>
    <row r="940" spans="1:46" ht="61.5" x14ac:dyDescent="0.85">
      <c r="A940" s="20">
        <v>1</v>
      </c>
      <c r="B940" s="66">
        <f>SUBTOTAL(103,$A$929:A940)</f>
        <v>12</v>
      </c>
      <c r="C940" s="24" t="s">
        <v>601</v>
      </c>
      <c r="D940" s="31">
        <f t="shared" si="413"/>
        <v>5751539.1200000001</v>
      </c>
      <c r="E940" s="31">
        <v>0</v>
      </c>
      <c r="F940" s="31">
        <v>0</v>
      </c>
      <c r="G940" s="31">
        <v>0</v>
      </c>
      <c r="H940" s="31">
        <v>0</v>
      </c>
      <c r="I940" s="31">
        <v>0</v>
      </c>
      <c r="J940" s="31">
        <v>0</v>
      </c>
      <c r="K940" s="33">
        <v>0</v>
      </c>
      <c r="L940" s="31">
        <v>0</v>
      </c>
      <c r="M940" s="31">
        <v>1260.4000000000001</v>
      </c>
      <c r="N940" s="31">
        <v>5666541</v>
      </c>
      <c r="O940" s="31">
        <v>0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  <c r="V940" s="31">
        <v>0</v>
      </c>
      <c r="W940" s="31">
        <v>0</v>
      </c>
      <c r="X940" s="31">
        <v>0</v>
      </c>
      <c r="Y940" s="31">
        <v>0</v>
      </c>
      <c r="Z940" s="31">
        <v>0</v>
      </c>
      <c r="AA940" s="31">
        <v>0</v>
      </c>
      <c r="AB940" s="31">
        <v>0</v>
      </c>
      <c r="AC940" s="31">
        <f t="shared" si="414"/>
        <v>84998.12</v>
      </c>
      <c r="AD940" s="31">
        <v>0</v>
      </c>
      <c r="AE940" s="31">
        <v>0</v>
      </c>
      <c r="AF940" s="34" t="s">
        <v>274</v>
      </c>
      <c r="AG940" s="34">
        <v>2022</v>
      </c>
      <c r="AH940" s="35">
        <v>2022</v>
      </c>
      <c r="AT940" s="20" t="e">
        <f t="shared" si="415"/>
        <v>#N/A</v>
      </c>
    </row>
    <row r="941" spans="1:46" ht="61.5" x14ac:dyDescent="0.85">
      <c r="A941" s="20">
        <v>1</v>
      </c>
      <c r="B941" s="66">
        <f>SUBTOTAL(103,$A$929:A941)</f>
        <v>13</v>
      </c>
      <c r="C941" s="24" t="s">
        <v>602</v>
      </c>
      <c r="D941" s="31">
        <f t="shared" si="413"/>
        <v>5350859.32</v>
      </c>
      <c r="E941" s="31">
        <v>0</v>
      </c>
      <c r="F941" s="31">
        <v>0</v>
      </c>
      <c r="G941" s="31">
        <v>0</v>
      </c>
      <c r="H941" s="31">
        <v>0</v>
      </c>
      <c r="I941" s="31">
        <v>0</v>
      </c>
      <c r="J941" s="31">
        <v>0</v>
      </c>
      <c r="K941" s="33">
        <v>0</v>
      </c>
      <c r="L941" s="31">
        <v>0</v>
      </c>
      <c r="M941" s="31">
        <v>1151</v>
      </c>
      <c r="N941" s="31">
        <v>5271782.58</v>
      </c>
      <c r="O941" s="31">
        <v>0</v>
      </c>
      <c r="P941" s="31">
        <v>0</v>
      </c>
      <c r="Q941" s="31">
        <v>0</v>
      </c>
      <c r="R941" s="31">
        <v>0</v>
      </c>
      <c r="S941" s="31">
        <v>0</v>
      </c>
      <c r="T941" s="31">
        <v>0</v>
      </c>
      <c r="U941" s="31">
        <v>0</v>
      </c>
      <c r="V941" s="31">
        <v>0</v>
      </c>
      <c r="W941" s="31">
        <v>0</v>
      </c>
      <c r="X941" s="31">
        <v>0</v>
      </c>
      <c r="Y941" s="31">
        <v>0</v>
      </c>
      <c r="Z941" s="31">
        <v>0</v>
      </c>
      <c r="AA941" s="31">
        <v>0</v>
      </c>
      <c r="AB941" s="31">
        <v>0</v>
      </c>
      <c r="AC941" s="31">
        <f t="shared" si="414"/>
        <v>79076.740000000005</v>
      </c>
      <c r="AD941" s="31">
        <v>0</v>
      </c>
      <c r="AE941" s="31">
        <v>0</v>
      </c>
      <c r="AF941" s="34" t="s">
        <v>274</v>
      </c>
      <c r="AG941" s="34">
        <v>2022</v>
      </c>
      <c r="AH941" s="35">
        <v>2022</v>
      </c>
      <c r="AT941" s="20" t="e">
        <f t="shared" si="415"/>
        <v>#N/A</v>
      </c>
    </row>
    <row r="942" spans="1:46" ht="61.5" x14ac:dyDescent="0.85">
      <c r="A942" s="20">
        <v>1</v>
      </c>
      <c r="B942" s="66">
        <f>SUBTOTAL(103,$A$929:A942)</f>
        <v>14</v>
      </c>
      <c r="C942" s="24" t="s">
        <v>603</v>
      </c>
      <c r="D942" s="31">
        <f t="shared" si="413"/>
        <v>2108786.08</v>
      </c>
      <c r="E942" s="31">
        <v>0</v>
      </c>
      <c r="F942" s="31">
        <v>0</v>
      </c>
      <c r="G942" s="31">
        <v>0</v>
      </c>
      <c r="H942" s="31">
        <v>0</v>
      </c>
      <c r="I942" s="31">
        <v>0</v>
      </c>
      <c r="J942" s="31">
        <v>0</v>
      </c>
      <c r="K942" s="33">
        <v>0</v>
      </c>
      <c r="L942" s="31">
        <v>0</v>
      </c>
      <c r="M942" s="31">
        <v>464.7</v>
      </c>
      <c r="N942" s="31">
        <v>2077621.75</v>
      </c>
      <c r="O942" s="31">
        <v>0</v>
      </c>
      <c r="P942" s="31">
        <v>0</v>
      </c>
      <c r="Q942" s="31">
        <v>0</v>
      </c>
      <c r="R942" s="31">
        <v>0</v>
      </c>
      <c r="S942" s="31">
        <v>0</v>
      </c>
      <c r="T942" s="31">
        <v>0</v>
      </c>
      <c r="U942" s="31">
        <v>0</v>
      </c>
      <c r="V942" s="31">
        <v>0</v>
      </c>
      <c r="W942" s="31">
        <v>0</v>
      </c>
      <c r="X942" s="31">
        <v>0</v>
      </c>
      <c r="Y942" s="31">
        <v>0</v>
      </c>
      <c r="Z942" s="31">
        <v>0</v>
      </c>
      <c r="AA942" s="31">
        <v>0</v>
      </c>
      <c r="AB942" s="31">
        <v>0</v>
      </c>
      <c r="AC942" s="31">
        <f t="shared" si="414"/>
        <v>31164.33</v>
      </c>
      <c r="AD942" s="31">
        <v>0</v>
      </c>
      <c r="AE942" s="31">
        <v>0</v>
      </c>
      <c r="AF942" s="34" t="s">
        <v>274</v>
      </c>
      <c r="AG942" s="34">
        <v>2022</v>
      </c>
      <c r="AH942" s="35">
        <v>2022</v>
      </c>
      <c r="AT942" s="20" t="e">
        <f t="shared" si="415"/>
        <v>#N/A</v>
      </c>
    </row>
    <row r="943" spans="1:46" ht="61.5" x14ac:dyDescent="0.85">
      <c r="A943" s="20">
        <v>1</v>
      </c>
      <c r="B943" s="66">
        <f>SUBTOTAL(103,$A$929:A943)</f>
        <v>15</v>
      </c>
      <c r="C943" s="24" t="s">
        <v>604</v>
      </c>
      <c r="D943" s="31">
        <f t="shared" si="413"/>
        <v>2108788.0499999998</v>
      </c>
      <c r="E943" s="31">
        <v>0</v>
      </c>
      <c r="F943" s="31">
        <v>0</v>
      </c>
      <c r="G943" s="31">
        <v>0</v>
      </c>
      <c r="H943" s="31">
        <v>0</v>
      </c>
      <c r="I943" s="31">
        <v>0</v>
      </c>
      <c r="J943" s="31">
        <v>0</v>
      </c>
      <c r="K943" s="33">
        <v>0</v>
      </c>
      <c r="L943" s="31">
        <v>0</v>
      </c>
      <c r="M943" s="31">
        <v>464.68</v>
      </c>
      <c r="N943" s="31">
        <v>2077623.69</v>
      </c>
      <c r="O943" s="31">
        <v>0</v>
      </c>
      <c r="P943" s="31">
        <v>0</v>
      </c>
      <c r="Q943" s="31">
        <v>0</v>
      </c>
      <c r="R943" s="31">
        <v>0</v>
      </c>
      <c r="S943" s="31">
        <v>0</v>
      </c>
      <c r="T943" s="31">
        <v>0</v>
      </c>
      <c r="U943" s="31">
        <v>0</v>
      </c>
      <c r="V943" s="31">
        <v>0</v>
      </c>
      <c r="W943" s="31">
        <v>0</v>
      </c>
      <c r="X943" s="31">
        <v>0</v>
      </c>
      <c r="Y943" s="31">
        <v>0</v>
      </c>
      <c r="Z943" s="31">
        <v>0</v>
      </c>
      <c r="AA943" s="31">
        <v>0</v>
      </c>
      <c r="AB943" s="31">
        <v>0</v>
      </c>
      <c r="AC943" s="31">
        <f t="shared" si="414"/>
        <v>31164.36</v>
      </c>
      <c r="AD943" s="31">
        <v>0</v>
      </c>
      <c r="AE943" s="31">
        <v>0</v>
      </c>
      <c r="AF943" s="34" t="s">
        <v>274</v>
      </c>
      <c r="AG943" s="34">
        <v>2022</v>
      </c>
      <c r="AH943" s="35">
        <v>2022</v>
      </c>
      <c r="AT943" s="20" t="e">
        <f t="shared" si="415"/>
        <v>#N/A</v>
      </c>
    </row>
    <row r="944" spans="1:46" ht="61.5" x14ac:dyDescent="0.85">
      <c r="A944" s="20">
        <v>1</v>
      </c>
      <c r="B944" s="66">
        <f>SUBTOTAL(103,$A$929:A944)</f>
        <v>16</v>
      </c>
      <c r="C944" s="24" t="s">
        <v>605</v>
      </c>
      <c r="D944" s="31">
        <f t="shared" si="413"/>
        <v>4241954.88</v>
      </c>
      <c r="E944" s="31">
        <v>0</v>
      </c>
      <c r="F944" s="31">
        <v>0</v>
      </c>
      <c r="G944" s="31">
        <v>0</v>
      </c>
      <c r="H944" s="31">
        <v>0</v>
      </c>
      <c r="I944" s="31">
        <v>0</v>
      </c>
      <c r="J944" s="31">
        <v>0</v>
      </c>
      <c r="K944" s="33">
        <v>0</v>
      </c>
      <c r="L944" s="31">
        <v>0</v>
      </c>
      <c r="M944" s="31">
        <v>917.7</v>
      </c>
      <c r="N944" s="31">
        <v>4179265.89</v>
      </c>
      <c r="O944" s="31">
        <v>0</v>
      </c>
      <c r="P944" s="31">
        <v>0</v>
      </c>
      <c r="Q944" s="31">
        <v>0</v>
      </c>
      <c r="R944" s="31">
        <v>0</v>
      </c>
      <c r="S944" s="31">
        <v>0</v>
      </c>
      <c r="T944" s="31">
        <v>0</v>
      </c>
      <c r="U944" s="31">
        <v>0</v>
      </c>
      <c r="V944" s="31">
        <v>0</v>
      </c>
      <c r="W944" s="31">
        <v>0</v>
      </c>
      <c r="X944" s="31">
        <v>0</v>
      </c>
      <c r="Y944" s="31">
        <v>0</v>
      </c>
      <c r="Z944" s="31">
        <v>0</v>
      </c>
      <c r="AA944" s="31">
        <v>0</v>
      </c>
      <c r="AB944" s="31">
        <v>0</v>
      </c>
      <c r="AC944" s="31">
        <f t="shared" si="414"/>
        <v>62688.99</v>
      </c>
      <c r="AD944" s="31">
        <v>0</v>
      </c>
      <c r="AE944" s="31">
        <v>0</v>
      </c>
      <c r="AF944" s="34" t="s">
        <v>274</v>
      </c>
      <c r="AG944" s="34">
        <v>2022</v>
      </c>
      <c r="AH944" s="35">
        <v>2022</v>
      </c>
      <c r="AT944" s="20" t="e">
        <f t="shared" si="415"/>
        <v>#N/A</v>
      </c>
    </row>
    <row r="945" spans="1:46" ht="61.5" x14ac:dyDescent="0.85">
      <c r="A945" s="20">
        <v>1</v>
      </c>
      <c r="B945" s="66">
        <f>SUBTOTAL(103,$A$929:A945)</f>
        <v>17</v>
      </c>
      <c r="C945" s="24" t="s">
        <v>606</v>
      </c>
      <c r="D945" s="31">
        <f t="shared" si="413"/>
        <v>3514995.2</v>
      </c>
      <c r="E945" s="31">
        <v>0</v>
      </c>
      <c r="F945" s="31">
        <v>0</v>
      </c>
      <c r="G945" s="31">
        <v>0</v>
      </c>
      <c r="H945" s="31">
        <v>0</v>
      </c>
      <c r="I945" s="31">
        <v>0</v>
      </c>
      <c r="J945" s="31">
        <v>0</v>
      </c>
      <c r="K945" s="33">
        <v>0</v>
      </c>
      <c r="L945" s="31">
        <v>0</v>
      </c>
      <c r="M945" s="31">
        <v>775</v>
      </c>
      <c r="N945" s="31">
        <v>3463049.46</v>
      </c>
      <c r="O945" s="31">
        <v>0</v>
      </c>
      <c r="P945" s="31">
        <v>0</v>
      </c>
      <c r="Q945" s="31">
        <v>0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1">
        <v>0</v>
      </c>
      <c r="Y945" s="31">
        <v>0</v>
      </c>
      <c r="Z945" s="31">
        <v>0</v>
      </c>
      <c r="AA945" s="31">
        <v>0</v>
      </c>
      <c r="AB945" s="31">
        <v>0</v>
      </c>
      <c r="AC945" s="31">
        <f t="shared" si="414"/>
        <v>51945.74</v>
      </c>
      <c r="AD945" s="31">
        <v>0</v>
      </c>
      <c r="AE945" s="31">
        <v>0</v>
      </c>
      <c r="AF945" s="34" t="s">
        <v>274</v>
      </c>
      <c r="AG945" s="34">
        <v>2022</v>
      </c>
      <c r="AH945" s="35">
        <v>2022</v>
      </c>
      <c r="AT945" s="20" t="e">
        <f t="shared" si="415"/>
        <v>#N/A</v>
      </c>
    </row>
    <row r="946" spans="1:46" ht="61.5" x14ac:dyDescent="0.85">
      <c r="A946" s="20">
        <v>1</v>
      </c>
      <c r="B946" s="66">
        <f>SUBTOTAL(103,$A$929:A946)</f>
        <v>18</v>
      </c>
      <c r="C946" s="24" t="s">
        <v>607</v>
      </c>
      <c r="D946" s="31">
        <f t="shared" si="413"/>
        <v>2547497.35</v>
      </c>
      <c r="E946" s="31">
        <v>0</v>
      </c>
      <c r="F946" s="31">
        <v>0</v>
      </c>
      <c r="G946" s="31">
        <v>0</v>
      </c>
      <c r="H946" s="31">
        <v>0</v>
      </c>
      <c r="I946" s="31">
        <v>0</v>
      </c>
      <c r="J946" s="31">
        <v>0</v>
      </c>
      <c r="K946" s="33">
        <v>0</v>
      </c>
      <c r="L946" s="31">
        <v>0</v>
      </c>
      <c r="M946" s="31">
        <v>557</v>
      </c>
      <c r="N946" s="31">
        <v>2509849.61</v>
      </c>
      <c r="O946" s="31">
        <v>0</v>
      </c>
      <c r="P946" s="31">
        <v>0</v>
      </c>
      <c r="Q946" s="31">
        <v>0</v>
      </c>
      <c r="R946" s="31">
        <v>0</v>
      </c>
      <c r="S946" s="31">
        <v>0</v>
      </c>
      <c r="T946" s="31">
        <v>0</v>
      </c>
      <c r="U946" s="31">
        <v>0</v>
      </c>
      <c r="V946" s="31">
        <v>0</v>
      </c>
      <c r="W946" s="31">
        <v>0</v>
      </c>
      <c r="X946" s="31">
        <v>0</v>
      </c>
      <c r="Y946" s="31">
        <v>0</v>
      </c>
      <c r="Z946" s="31">
        <v>0</v>
      </c>
      <c r="AA946" s="31">
        <v>0</v>
      </c>
      <c r="AB946" s="31">
        <v>0</v>
      </c>
      <c r="AC946" s="31">
        <f t="shared" si="414"/>
        <v>37647.74</v>
      </c>
      <c r="AD946" s="31">
        <v>0</v>
      </c>
      <c r="AE946" s="31">
        <v>0</v>
      </c>
      <c r="AF946" s="34" t="s">
        <v>274</v>
      </c>
      <c r="AG946" s="34">
        <v>2022</v>
      </c>
      <c r="AH946" s="35">
        <v>2022</v>
      </c>
      <c r="AT946" s="20" t="e">
        <f t="shared" si="415"/>
        <v>#N/A</v>
      </c>
    </row>
    <row r="947" spans="1:46" ht="61.5" x14ac:dyDescent="0.85">
      <c r="A947" s="20">
        <v>1</v>
      </c>
      <c r="B947" s="66">
        <f>SUBTOTAL(103,$A$929:A947)</f>
        <v>19</v>
      </c>
      <c r="C947" s="24" t="s">
        <v>608</v>
      </c>
      <c r="D947" s="31">
        <f t="shared" si="413"/>
        <v>974208.66</v>
      </c>
      <c r="E947" s="31">
        <v>0</v>
      </c>
      <c r="F947" s="31">
        <v>0</v>
      </c>
      <c r="G947" s="31">
        <v>0</v>
      </c>
      <c r="H947" s="31">
        <v>0</v>
      </c>
      <c r="I947" s="31">
        <v>0</v>
      </c>
      <c r="J947" s="31">
        <v>0</v>
      </c>
      <c r="K947" s="33">
        <v>0</v>
      </c>
      <c r="L947" s="31">
        <v>0</v>
      </c>
      <c r="M947" s="31">
        <v>226</v>
      </c>
      <c r="N947" s="31">
        <v>959811.49</v>
      </c>
      <c r="O947" s="31">
        <v>0</v>
      </c>
      <c r="P947" s="31">
        <v>0</v>
      </c>
      <c r="Q947" s="31">
        <v>0</v>
      </c>
      <c r="R947" s="31">
        <v>0</v>
      </c>
      <c r="S947" s="31">
        <v>0</v>
      </c>
      <c r="T947" s="31">
        <v>0</v>
      </c>
      <c r="U947" s="31">
        <v>0</v>
      </c>
      <c r="V947" s="31">
        <v>0</v>
      </c>
      <c r="W947" s="31">
        <v>0</v>
      </c>
      <c r="X947" s="31">
        <v>0</v>
      </c>
      <c r="Y947" s="31">
        <v>0</v>
      </c>
      <c r="Z947" s="31">
        <v>0</v>
      </c>
      <c r="AA947" s="31">
        <v>0</v>
      </c>
      <c r="AB947" s="31">
        <v>0</v>
      </c>
      <c r="AC947" s="31">
        <f t="shared" si="414"/>
        <v>14397.17</v>
      </c>
      <c r="AD947" s="31">
        <v>0</v>
      </c>
      <c r="AE947" s="31">
        <v>0</v>
      </c>
      <c r="AF947" s="34" t="s">
        <v>274</v>
      </c>
      <c r="AG947" s="34">
        <v>2022</v>
      </c>
      <c r="AH947" s="35">
        <v>2022</v>
      </c>
      <c r="AT947" s="20" t="e">
        <f t="shared" si="415"/>
        <v>#N/A</v>
      </c>
    </row>
    <row r="948" spans="1:46" ht="61.5" x14ac:dyDescent="0.85">
      <c r="A948" s="20">
        <v>1</v>
      </c>
      <c r="B948" s="66">
        <f>SUBTOTAL(103,$A$929:A948)</f>
        <v>20</v>
      </c>
      <c r="C948" s="24" t="s">
        <v>609</v>
      </c>
      <c r="D948" s="31">
        <f t="shared" si="413"/>
        <v>2883983.08</v>
      </c>
      <c r="E948" s="31">
        <v>0</v>
      </c>
      <c r="F948" s="31">
        <v>0</v>
      </c>
      <c r="G948" s="31">
        <v>0</v>
      </c>
      <c r="H948" s="31">
        <v>0</v>
      </c>
      <c r="I948" s="31">
        <v>0</v>
      </c>
      <c r="J948" s="31">
        <v>0</v>
      </c>
      <c r="K948" s="33">
        <v>0</v>
      </c>
      <c r="L948" s="31">
        <v>0</v>
      </c>
      <c r="M948" s="31">
        <v>632</v>
      </c>
      <c r="N948" s="31">
        <v>2841362.64</v>
      </c>
      <c r="O948" s="31">
        <v>0</v>
      </c>
      <c r="P948" s="31">
        <v>0</v>
      </c>
      <c r="Q948" s="31">
        <v>0</v>
      </c>
      <c r="R948" s="31">
        <v>0</v>
      </c>
      <c r="S948" s="31">
        <v>0</v>
      </c>
      <c r="T948" s="31">
        <v>0</v>
      </c>
      <c r="U948" s="31">
        <v>0</v>
      </c>
      <c r="V948" s="31">
        <v>0</v>
      </c>
      <c r="W948" s="31">
        <v>0</v>
      </c>
      <c r="X948" s="31">
        <v>0</v>
      </c>
      <c r="Y948" s="31">
        <v>0</v>
      </c>
      <c r="Z948" s="31">
        <v>0</v>
      </c>
      <c r="AA948" s="31">
        <v>0</v>
      </c>
      <c r="AB948" s="31">
        <v>0</v>
      </c>
      <c r="AC948" s="31">
        <f t="shared" si="414"/>
        <v>42620.44</v>
      </c>
      <c r="AD948" s="31">
        <v>0</v>
      </c>
      <c r="AE948" s="31">
        <v>0</v>
      </c>
      <c r="AF948" s="34" t="s">
        <v>274</v>
      </c>
      <c r="AG948" s="34">
        <v>2022</v>
      </c>
      <c r="AH948" s="35">
        <v>2022</v>
      </c>
      <c r="AT948" s="20" t="e">
        <f t="shared" si="415"/>
        <v>#N/A</v>
      </c>
    </row>
    <row r="949" spans="1:46" ht="61.5" x14ac:dyDescent="0.85">
      <c r="A949" s="20">
        <v>1</v>
      </c>
      <c r="B949" s="66">
        <f>SUBTOTAL(103,$A$929:A949)</f>
        <v>21</v>
      </c>
      <c r="C949" s="24" t="s">
        <v>610</v>
      </c>
      <c r="D949" s="31">
        <f t="shared" si="413"/>
        <v>2883983.08</v>
      </c>
      <c r="E949" s="31">
        <v>0</v>
      </c>
      <c r="F949" s="31">
        <v>0</v>
      </c>
      <c r="G949" s="31">
        <v>0</v>
      </c>
      <c r="H949" s="31">
        <v>0</v>
      </c>
      <c r="I949" s="31">
        <v>0</v>
      </c>
      <c r="J949" s="31">
        <v>0</v>
      </c>
      <c r="K949" s="33">
        <v>0</v>
      </c>
      <c r="L949" s="31">
        <v>0</v>
      </c>
      <c r="M949" s="31">
        <v>632</v>
      </c>
      <c r="N949" s="31">
        <v>2841362.64</v>
      </c>
      <c r="O949" s="31">
        <v>0</v>
      </c>
      <c r="P949" s="31">
        <v>0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1">
        <v>0</v>
      </c>
      <c r="Y949" s="31">
        <v>0</v>
      </c>
      <c r="Z949" s="31">
        <v>0</v>
      </c>
      <c r="AA949" s="31">
        <v>0</v>
      </c>
      <c r="AB949" s="31">
        <v>0</v>
      </c>
      <c r="AC949" s="31">
        <f t="shared" si="414"/>
        <v>42620.44</v>
      </c>
      <c r="AD949" s="31">
        <v>0</v>
      </c>
      <c r="AE949" s="31">
        <v>0</v>
      </c>
      <c r="AF949" s="34" t="s">
        <v>274</v>
      </c>
      <c r="AG949" s="34">
        <v>2022</v>
      </c>
      <c r="AH949" s="35">
        <v>2022</v>
      </c>
      <c r="AT949" s="20" t="e">
        <f t="shared" si="415"/>
        <v>#N/A</v>
      </c>
    </row>
    <row r="950" spans="1:46" ht="61.5" x14ac:dyDescent="0.85">
      <c r="A950" s="20">
        <v>1</v>
      </c>
      <c r="B950" s="66">
        <f>SUBTOTAL(103,$A$929:A950)</f>
        <v>22</v>
      </c>
      <c r="C950" s="24" t="s">
        <v>611</v>
      </c>
      <c r="D950" s="31">
        <f t="shared" si="413"/>
        <v>3302263</v>
      </c>
      <c r="E950" s="31">
        <v>0</v>
      </c>
      <c r="F950" s="31">
        <v>0</v>
      </c>
      <c r="G950" s="31">
        <v>0</v>
      </c>
      <c r="H950" s="31">
        <v>0</v>
      </c>
      <c r="I950" s="31">
        <v>0</v>
      </c>
      <c r="J950" s="31">
        <v>0</v>
      </c>
      <c r="K950" s="33">
        <v>0</v>
      </c>
      <c r="L950" s="31">
        <v>0</v>
      </c>
      <c r="M950" s="31">
        <v>720</v>
      </c>
      <c r="N950" s="31">
        <v>3253461.08</v>
      </c>
      <c r="O950" s="31">
        <v>0</v>
      </c>
      <c r="P950" s="31">
        <v>0</v>
      </c>
      <c r="Q950" s="31">
        <v>0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1">
        <v>0</v>
      </c>
      <c r="Y950" s="31">
        <v>0</v>
      </c>
      <c r="Z950" s="31">
        <v>0</v>
      </c>
      <c r="AA950" s="31">
        <v>0</v>
      </c>
      <c r="AB950" s="31">
        <v>0</v>
      </c>
      <c r="AC950" s="31">
        <f t="shared" si="414"/>
        <v>48801.919999999998</v>
      </c>
      <c r="AD950" s="31">
        <v>0</v>
      </c>
      <c r="AE950" s="31">
        <v>0</v>
      </c>
      <c r="AF950" s="34" t="s">
        <v>274</v>
      </c>
      <c r="AG950" s="34">
        <v>2022</v>
      </c>
      <c r="AH950" s="35">
        <v>2022</v>
      </c>
      <c r="AT950" s="20" t="e">
        <f t="shared" si="415"/>
        <v>#N/A</v>
      </c>
    </row>
    <row r="951" spans="1:46" ht="61.5" x14ac:dyDescent="0.85">
      <c r="A951" s="20">
        <v>1</v>
      </c>
      <c r="B951" s="66">
        <f>SUBTOTAL(103,$A$929:A951)</f>
        <v>23</v>
      </c>
      <c r="C951" s="24" t="s">
        <v>612</v>
      </c>
      <c r="D951" s="31">
        <f t="shared" si="413"/>
        <v>4272967.33</v>
      </c>
      <c r="E951" s="31">
        <v>0</v>
      </c>
      <c r="F951" s="31">
        <v>0</v>
      </c>
      <c r="G951" s="31">
        <v>0</v>
      </c>
      <c r="H951" s="31">
        <v>0</v>
      </c>
      <c r="I951" s="31">
        <v>0</v>
      </c>
      <c r="J951" s="31">
        <v>0</v>
      </c>
      <c r="K951" s="33">
        <v>0</v>
      </c>
      <c r="L951" s="31">
        <v>0</v>
      </c>
      <c r="M951" s="31">
        <v>960</v>
      </c>
      <c r="N951" s="31">
        <v>4209820.03</v>
      </c>
      <c r="O951" s="31">
        <v>0</v>
      </c>
      <c r="P951" s="31">
        <v>0</v>
      </c>
      <c r="Q951" s="31">
        <v>0</v>
      </c>
      <c r="R951" s="31">
        <v>0</v>
      </c>
      <c r="S951" s="31">
        <v>0</v>
      </c>
      <c r="T951" s="31">
        <v>0</v>
      </c>
      <c r="U951" s="31">
        <v>0</v>
      </c>
      <c r="V951" s="31">
        <v>0</v>
      </c>
      <c r="W951" s="31">
        <v>0</v>
      </c>
      <c r="X951" s="31">
        <v>0</v>
      </c>
      <c r="Y951" s="31">
        <v>0</v>
      </c>
      <c r="Z951" s="31">
        <v>0</v>
      </c>
      <c r="AA951" s="31">
        <v>0</v>
      </c>
      <c r="AB951" s="31">
        <v>0</v>
      </c>
      <c r="AC951" s="31">
        <f t="shared" si="414"/>
        <v>63147.3</v>
      </c>
      <c r="AD951" s="31">
        <v>0</v>
      </c>
      <c r="AE951" s="31">
        <v>0</v>
      </c>
      <c r="AF951" s="34" t="s">
        <v>274</v>
      </c>
      <c r="AG951" s="34">
        <v>2022</v>
      </c>
      <c r="AH951" s="35">
        <v>2022</v>
      </c>
      <c r="AT951" s="20" t="e">
        <f t="shared" si="415"/>
        <v>#N/A</v>
      </c>
    </row>
    <row r="952" spans="1:46" ht="61.5" x14ac:dyDescent="0.85">
      <c r="A952" s="20">
        <v>1</v>
      </c>
      <c r="B952" s="66">
        <f>SUBTOTAL(103,$A$929:A952)</f>
        <v>24</v>
      </c>
      <c r="C952" s="24" t="s">
        <v>613</v>
      </c>
      <c r="D952" s="31">
        <f t="shared" si="413"/>
        <v>4323303.57</v>
      </c>
      <c r="E952" s="31">
        <v>0</v>
      </c>
      <c r="F952" s="31">
        <v>0</v>
      </c>
      <c r="G952" s="31">
        <v>0</v>
      </c>
      <c r="H952" s="31">
        <v>0</v>
      </c>
      <c r="I952" s="31">
        <v>0</v>
      </c>
      <c r="J952" s="31">
        <v>0</v>
      </c>
      <c r="K952" s="33">
        <v>0</v>
      </c>
      <c r="L952" s="31">
        <v>0</v>
      </c>
      <c r="M952" s="31">
        <v>971</v>
      </c>
      <c r="N952" s="31">
        <v>4259412.38</v>
      </c>
      <c r="O952" s="31">
        <v>0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  <c r="V952" s="31">
        <v>0</v>
      </c>
      <c r="W952" s="31">
        <v>0</v>
      </c>
      <c r="X952" s="31">
        <v>0</v>
      </c>
      <c r="Y952" s="31">
        <v>0</v>
      </c>
      <c r="Z952" s="31">
        <v>0</v>
      </c>
      <c r="AA952" s="31">
        <v>0</v>
      </c>
      <c r="AB952" s="31">
        <v>0</v>
      </c>
      <c r="AC952" s="31">
        <f t="shared" si="414"/>
        <v>63891.19</v>
      </c>
      <c r="AD952" s="31">
        <v>0</v>
      </c>
      <c r="AE952" s="31">
        <v>0</v>
      </c>
      <c r="AF952" s="34" t="s">
        <v>274</v>
      </c>
      <c r="AG952" s="34">
        <v>2022</v>
      </c>
      <c r="AH952" s="35">
        <v>2022</v>
      </c>
      <c r="AT952" s="20" t="e">
        <f t="shared" si="415"/>
        <v>#N/A</v>
      </c>
    </row>
    <row r="953" spans="1:46" ht="61.5" x14ac:dyDescent="0.85">
      <c r="A953" s="20">
        <v>1</v>
      </c>
      <c r="B953" s="66">
        <f>SUBTOTAL(103,$A$929:A953)</f>
        <v>25</v>
      </c>
      <c r="C953" s="24" t="s">
        <v>614</v>
      </c>
      <c r="D953" s="31">
        <f t="shared" si="413"/>
        <v>2249559.61</v>
      </c>
      <c r="E953" s="31">
        <v>0</v>
      </c>
      <c r="F953" s="31">
        <v>0</v>
      </c>
      <c r="G953" s="31">
        <v>0</v>
      </c>
      <c r="H953" s="31">
        <v>0</v>
      </c>
      <c r="I953" s="31">
        <v>0</v>
      </c>
      <c r="J953" s="31">
        <v>0</v>
      </c>
      <c r="K953" s="33">
        <v>1</v>
      </c>
      <c r="L953" s="31">
        <v>2249559.61</v>
      </c>
      <c r="M953" s="31">
        <v>0</v>
      </c>
      <c r="N953" s="31">
        <v>0</v>
      </c>
      <c r="O953" s="31">
        <v>0</v>
      </c>
      <c r="P953" s="31">
        <v>0</v>
      </c>
      <c r="Q953" s="31">
        <v>0</v>
      </c>
      <c r="R953" s="31">
        <v>0</v>
      </c>
      <c r="S953" s="31">
        <v>0</v>
      </c>
      <c r="T953" s="31">
        <v>0</v>
      </c>
      <c r="U953" s="31">
        <v>0</v>
      </c>
      <c r="V953" s="31">
        <v>0</v>
      </c>
      <c r="W953" s="31">
        <v>0</v>
      </c>
      <c r="X953" s="31">
        <v>0</v>
      </c>
      <c r="Y953" s="31">
        <v>0</v>
      </c>
      <c r="Z953" s="31">
        <v>0</v>
      </c>
      <c r="AA953" s="31">
        <v>0</v>
      </c>
      <c r="AB953" s="31">
        <v>0</v>
      </c>
      <c r="AC953" s="31">
        <v>0</v>
      </c>
      <c r="AD953" s="31">
        <v>0</v>
      </c>
      <c r="AE953" s="31">
        <v>0</v>
      </c>
      <c r="AF953" s="34" t="s">
        <v>274</v>
      </c>
      <c r="AG953" s="34">
        <v>2022</v>
      </c>
      <c r="AH953" s="35" t="s">
        <v>274</v>
      </c>
      <c r="AT953" s="20" t="e">
        <f t="shared" si="415"/>
        <v>#N/A</v>
      </c>
    </row>
    <row r="954" spans="1:46" ht="61.5" x14ac:dyDescent="0.85">
      <c r="A954" s="20">
        <v>1</v>
      </c>
      <c r="B954" s="66">
        <f>SUBTOTAL(103,$A$929:A954)</f>
        <v>26</v>
      </c>
      <c r="C954" s="24" t="s">
        <v>615</v>
      </c>
      <c r="D954" s="31">
        <f t="shared" si="413"/>
        <v>3899114.33</v>
      </c>
      <c r="E954" s="31">
        <v>0</v>
      </c>
      <c r="F954" s="31">
        <v>0</v>
      </c>
      <c r="G954" s="31">
        <v>0</v>
      </c>
      <c r="H954" s="31">
        <v>0</v>
      </c>
      <c r="I954" s="31">
        <v>0</v>
      </c>
      <c r="J954" s="31">
        <v>0</v>
      </c>
      <c r="K954" s="33">
        <v>0</v>
      </c>
      <c r="L954" s="31">
        <v>0</v>
      </c>
      <c r="M954" s="31">
        <v>844</v>
      </c>
      <c r="N954" s="31">
        <v>3841491.95</v>
      </c>
      <c r="O954" s="31">
        <v>0</v>
      </c>
      <c r="P954" s="31">
        <v>0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1">
        <v>0</v>
      </c>
      <c r="Y954" s="31">
        <v>0</v>
      </c>
      <c r="Z954" s="31">
        <v>0</v>
      </c>
      <c r="AA954" s="31">
        <v>0</v>
      </c>
      <c r="AB954" s="31">
        <v>0</v>
      </c>
      <c r="AC954" s="31">
        <f t="shared" ref="AC954:AC960" si="416">ROUND(N954*1.5%,2)</f>
        <v>57622.38</v>
      </c>
      <c r="AD954" s="31">
        <v>0</v>
      </c>
      <c r="AE954" s="31">
        <v>0</v>
      </c>
      <c r="AF954" s="34" t="s">
        <v>274</v>
      </c>
      <c r="AG954" s="34">
        <v>2022</v>
      </c>
      <c r="AH954" s="35">
        <v>2022</v>
      </c>
      <c r="AT954" s="20" t="e">
        <f t="shared" si="415"/>
        <v>#N/A</v>
      </c>
    </row>
    <row r="955" spans="1:46" ht="61.5" x14ac:dyDescent="0.85">
      <c r="A955" s="20">
        <v>1</v>
      </c>
      <c r="B955" s="66">
        <f>SUBTOTAL(103,$A$929:A955)</f>
        <v>27</v>
      </c>
      <c r="C955" s="24" t="s">
        <v>616</v>
      </c>
      <c r="D955" s="31">
        <f t="shared" si="413"/>
        <v>5613232.8199999994</v>
      </c>
      <c r="E955" s="31">
        <v>0</v>
      </c>
      <c r="F955" s="31">
        <v>0</v>
      </c>
      <c r="G955" s="31">
        <v>0</v>
      </c>
      <c r="H955" s="31">
        <v>0</v>
      </c>
      <c r="I955" s="31">
        <v>0</v>
      </c>
      <c r="J955" s="31">
        <v>0</v>
      </c>
      <c r="K955" s="33">
        <v>0</v>
      </c>
      <c r="L955" s="31">
        <v>0</v>
      </c>
      <c r="M955" s="31">
        <v>1206.2</v>
      </c>
      <c r="N955" s="31">
        <v>5530278.6399999997</v>
      </c>
      <c r="O955" s="31">
        <v>0</v>
      </c>
      <c r="P955" s="31">
        <v>0</v>
      </c>
      <c r="Q955" s="31">
        <v>0</v>
      </c>
      <c r="R955" s="31">
        <v>0</v>
      </c>
      <c r="S955" s="31">
        <v>0</v>
      </c>
      <c r="T955" s="31">
        <v>0</v>
      </c>
      <c r="U955" s="31">
        <v>0</v>
      </c>
      <c r="V955" s="31">
        <v>0</v>
      </c>
      <c r="W955" s="31">
        <v>0</v>
      </c>
      <c r="X955" s="31">
        <v>0</v>
      </c>
      <c r="Y955" s="31">
        <v>0</v>
      </c>
      <c r="Z955" s="31">
        <v>0</v>
      </c>
      <c r="AA955" s="31">
        <v>0</v>
      </c>
      <c r="AB955" s="31">
        <v>0</v>
      </c>
      <c r="AC955" s="31">
        <f t="shared" si="416"/>
        <v>82954.179999999993</v>
      </c>
      <c r="AD955" s="31">
        <v>0</v>
      </c>
      <c r="AE955" s="31">
        <v>0</v>
      </c>
      <c r="AF955" s="34" t="s">
        <v>274</v>
      </c>
      <c r="AG955" s="34">
        <v>2022</v>
      </c>
      <c r="AH955" s="35">
        <v>2022</v>
      </c>
      <c r="AT955" s="20" t="e">
        <f t="shared" si="415"/>
        <v>#N/A</v>
      </c>
    </row>
    <row r="956" spans="1:46" ht="61.5" x14ac:dyDescent="0.85">
      <c r="A956" s="20">
        <v>1</v>
      </c>
      <c r="B956" s="66">
        <f>SUBTOTAL(103,$A$929:A956)</f>
        <v>28</v>
      </c>
      <c r="C956" s="24" t="s">
        <v>617</v>
      </c>
      <c r="D956" s="31">
        <f t="shared" si="413"/>
        <v>3711978.26</v>
      </c>
      <c r="E956" s="31">
        <v>0</v>
      </c>
      <c r="F956" s="31">
        <v>0</v>
      </c>
      <c r="G956" s="31">
        <v>0</v>
      </c>
      <c r="H956" s="31">
        <v>0</v>
      </c>
      <c r="I956" s="31">
        <v>0</v>
      </c>
      <c r="J956" s="31">
        <v>0</v>
      </c>
      <c r="K956" s="33">
        <v>0</v>
      </c>
      <c r="L956" s="31">
        <v>0</v>
      </c>
      <c r="M956" s="31">
        <v>806.2</v>
      </c>
      <c r="N956" s="31">
        <v>3657121.44</v>
      </c>
      <c r="O956" s="31">
        <v>0</v>
      </c>
      <c r="P956" s="31">
        <v>0</v>
      </c>
      <c r="Q956" s="31">
        <v>0</v>
      </c>
      <c r="R956" s="31">
        <v>0</v>
      </c>
      <c r="S956" s="31">
        <v>0</v>
      </c>
      <c r="T956" s="31">
        <v>0</v>
      </c>
      <c r="U956" s="31">
        <v>0</v>
      </c>
      <c r="V956" s="31">
        <v>0</v>
      </c>
      <c r="W956" s="31">
        <v>0</v>
      </c>
      <c r="X956" s="31">
        <v>0</v>
      </c>
      <c r="Y956" s="31">
        <v>0</v>
      </c>
      <c r="Z956" s="31">
        <v>0</v>
      </c>
      <c r="AA956" s="31">
        <v>0</v>
      </c>
      <c r="AB956" s="31">
        <v>0</v>
      </c>
      <c r="AC956" s="31">
        <f t="shared" si="416"/>
        <v>54856.82</v>
      </c>
      <c r="AD956" s="31">
        <v>0</v>
      </c>
      <c r="AE956" s="31">
        <v>0</v>
      </c>
      <c r="AF956" s="34" t="s">
        <v>274</v>
      </c>
      <c r="AG956" s="34">
        <v>2022</v>
      </c>
      <c r="AH956" s="35">
        <v>2022</v>
      </c>
      <c r="AT956" s="20" t="e">
        <f t="shared" si="415"/>
        <v>#N/A</v>
      </c>
    </row>
    <row r="957" spans="1:46" ht="61.5" x14ac:dyDescent="0.85">
      <c r="A957" s="20">
        <v>1</v>
      </c>
      <c r="B957" s="66">
        <f>SUBTOTAL(103,$A$929:A957)</f>
        <v>29</v>
      </c>
      <c r="C957" s="24" t="s">
        <v>618</v>
      </c>
      <c r="D957" s="31">
        <f t="shared" si="413"/>
        <v>4866989.0200000005</v>
      </c>
      <c r="E957" s="31">
        <v>0</v>
      </c>
      <c r="F957" s="31">
        <v>0</v>
      </c>
      <c r="G957" s="31">
        <v>0</v>
      </c>
      <c r="H957" s="31">
        <v>0</v>
      </c>
      <c r="I957" s="31">
        <v>0</v>
      </c>
      <c r="J957" s="31">
        <v>0</v>
      </c>
      <c r="K957" s="33">
        <v>0</v>
      </c>
      <c r="L957" s="31">
        <v>0</v>
      </c>
      <c r="M957" s="31">
        <v>1049.2</v>
      </c>
      <c r="N957" s="31">
        <v>4795063.07</v>
      </c>
      <c r="O957" s="31">
        <v>0</v>
      </c>
      <c r="P957" s="31">
        <v>0</v>
      </c>
      <c r="Q957" s="31">
        <v>0</v>
      </c>
      <c r="R957" s="31">
        <v>0</v>
      </c>
      <c r="S957" s="31">
        <v>0</v>
      </c>
      <c r="T957" s="31">
        <v>0</v>
      </c>
      <c r="U957" s="31">
        <v>0</v>
      </c>
      <c r="V957" s="31">
        <v>0</v>
      </c>
      <c r="W957" s="31">
        <v>0</v>
      </c>
      <c r="X957" s="31">
        <v>0</v>
      </c>
      <c r="Y957" s="31">
        <v>0</v>
      </c>
      <c r="Z957" s="31">
        <v>0</v>
      </c>
      <c r="AA957" s="31">
        <v>0</v>
      </c>
      <c r="AB957" s="31">
        <v>0</v>
      </c>
      <c r="AC957" s="31">
        <f t="shared" si="416"/>
        <v>71925.95</v>
      </c>
      <c r="AD957" s="31">
        <v>0</v>
      </c>
      <c r="AE957" s="31">
        <v>0</v>
      </c>
      <c r="AF957" s="34" t="s">
        <v>274</v>
      </c>
      <c r="AG957" s="34">
        <v>2022</v>
      </c>
      <c r="AH957" s="35">
        <v>2022</v>
      </c>
      <c r="AT957" s="20" t="e">
        <f t="shared" si="415"/>
        <v>#N/A</v>
      </c>
    </row>
    <row r="958" spans="1:46" ht="61.5" x14ac:dyDescent="0.85">
      <c r="A958" s="20">
        <v>1</v>
      </c>
      <c r="B958" s="66">
        <f>SUBTOTAL(103,$A$929:A958)</f>
        <v>30</v>
      </c>
      <c r="C958" s="24" t="s">
        <v>619</v>
      </c>
      <c r="D958" s="31">
        <f t="shared" si="413"/>
        <v>3834609.35</v>
      </c>
      <c r="E958" s="31">
        <v>0</v>
      </c>
      <c r="F958" s="31">
        <v>0</v>
      </c>
      <c r="G958" s="31">
        <v>0</v>
      </c>
      <c r="H958" s="31">
        <v>0</v>
      </c>
      <c r="I958" s="31">
        <v>0</v>
      </c>
      <c r="J958" s="31">
        <v>0</v>
      </c>
      <c r="K958" s="33">
        <v>0</v>
      </c>
      <c r="L958" s="31">
        <v>0</v>
      </c>
      <c r="M958" s="31">
        <v>832</v>
      </c>
      <c r="N958" s="31">
        <v>3777940.25</v>
      </c>
      <c r="O958" s="31">
        <v>0</v>
      </c>
      <c r="P958" s="31">
        <v>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1">
        <v>0</v>
      </c>
      <c r="Y958" s="31">
        <v>0</v>
      </c>
      <c r="Z958" s="31">
        <v>0</v>
      </c>
      <c r="AA958" s="31">
        <v>0</v>
      </c>
      <c r="AB958" s="31">
        <v>0</v>
      </c>
      <c r="AC958" s="31">
        <f t="shared" si="416"/>
        <v>56669.1</v>
      </c>
      <c r="AD958" s="31">
        <v>0</v>
      </c>
      <c r="AE958" s="31">
        <v>0</v>
      </c>
      <c r="AF958" s="34" t="s">
        <v>274</v>
      </c>
      <c r="AG958" s="34">
        <v>2022</v>
      </c>
      <c r="AH958" s="35">
        <v>2022</v>
      </c>
      <c r="AT958" s="20" t="e">
        <f t="shared" si="415"/>
        <v>#N/A</v>
      </c>
    </row>
    <row r="959" spans="1:46" ht="61.5" x14ac:dyDescent="0.85">
      <c r="A959" s="20">
        <v>1</v>
      </c>
      <c r="B959" s="66">
        <f>SUBTOTAL(103,$A$929:A959)</f>
        <v>31</v>
      </c>
      <c r="C959" s="24" t="s">
        <v>620</v>
      </c>
      <c r="D959" s="31">
        <f t="shared" si="413"/>
        <v>2834067.58</v>
      </c>
      <c r="E959" s="31">
        <v>0</v>
      </c>
      <c r="F959" s="31">
        <v>0</v>
      </c>
      <c r="G959" s="31">
        <v>0</v>
      </c>
      <c r="H959" s="31">
        <v>0</v>
      </c>
      <c r="I959" s="31">
        <v>0</v>
      </c>
      <c r="J959" s="31">
        <v>0</v>
      </c>
      <c r="K959" s="33">
        <v>0</v>
      </c>
      <c r="L959" s="31">
        <v>0</v>
      </c>
      <c r="M959" s="31">
        <v>621.5</v>
      </c>
      <c r="N959" s="31">
        <v>2792184.81</v>
      </c>
      <c r="O959" s="31">
        <v>0</v>
      </c>
      <c r="P959" s="31">
        <v>0</v>
      </c>
      <c r="Q959" s="31">
        <v>0</v>
      </c>
      <c r="R959" s="31">
        <v>0</v>
      </c>
      <c r="S959" s="31">
        <v>0</v>
      </c>
      <c r="T959" s="31">
        <v>0</v>
      </c>
      <c r="U959" s="31">
        <v>0</v>
      </c>
      <c r="V959" s="31">
        <v>0</v>
      </c>
      <c r="W959" s="31">
        <v>0</v>
      </c>
      <c r="X959" s="31">
        <v>0</v>
      </c>
      <c r="Y959" s="31">
        <v>0</v>
      </c>
      <c r="Z959" s="31">
        <v>0</v>
      </c>
      <c r="AA959" s="31">
        <v>0</v>
      </c>
      <c r="AB959" s="31">
        <v>0</v>
      </c>
      <c r="AC959" s="31">
        <f t="shared" si="416"/>
        <v>41882.769999999997</v>
      </c>
      <c r="AD959" s="31">
        <v>0</v>
      </c>
      <c r="AE959" s="31">
        <v>0</v>
      </c>
      <c r="AF959" s="34" t="s">
        <v>274</v>
      </c>
      <c r="AG959" s="34">
        <v>2022</v>
      </c>
      <c r="AH959" s="35">
        <v>2022</v>
      </c>
      <c r="AT959" s="20" t="e">
        <f t="shared" si="415"/>
        <v>#N/A</v>
      </c>
    </row>
    <row r="960" spans="1:46" ht="61.5" x14ac:dyDescent="0.85">
      <c r="A960" s="20">
        <v>1</v>
      </c>
      <c r="B960" s="66">
        <f>SUBTOTAL(103,$A$929:A960)</f>
        <v>32</v>
      </c>
      <c r="C960" s="24" t="s">
        <v>621</v>
      </c>
      <c r="D960" s="31">
        <f t="shared" si="413"/>
        <v>6697616.7399999993</v>
      </c>
      <c r="E960" s="31">
        <v>0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3">
        <v>0</v>
      </c>
      <c r="L960" s="31">
        <v>0</v>
      </c>
      <c r="M960" s="31">
        <v>1447</v>
      </c>
      <c r="N960" s="31">
        <v>6598637.1799999997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  <c r="V960" s="31">
        <v>0</v>
      </c>
      <c r="W960" s="31">
        <v>0</v>
      </c>
      <c r="X960" s="31">
        <v>0</v>
      </c>
      <c r="Y960" s="31">
        <v>0</v>
      </c>
      <c r="Z960" s="31">
        <v>0</v>
      </c>
      <c r="AA960" s="31">
        <v>0</v>
      </c>
      <c r="AB960" s="31">
        <v>0</v>
      </c>
      <c r="AC960" s="31">
        <f t="shared" si="416"/>
        <v>98979.56</v>
      </c>
      <c r="AD960" s="31">
        <v>0</v>
      </c>
      <c r="AE960" s="31">
        <v>0</v>
      </c>
      <c r="AF960" s="34" t="s">
        <v>274</v>
      </c>
      <c r="AG960" s="34">
        <v>2022</v>
      </c>
      <c r="AH960" s="35">
        <v>2022</v>
      </c>
      <c r="AT960" s="20" t="e">
        <f t="shared" si="415"/>
        <v>#N/A</v>
      </c>
    </row>
    <row r="961" spans="1:46" ht="61.5" x14ac:dyDescent="0.85">
      <c r="A961" s="20">
        <v>1</v>
      </c>
      <c r="B961" s="66">
        <f>SUBTOTAL(103,$A$929:A961)</f>
        <v>33</v>
      </c>
      <c r="C961" s="24" t="s">
        <v>622</v>
      </c>
      <c r="D961" s="31">
        <f t="shared" si="413"/>
        <v>5163885</v>
      </c>
      <c r="E961" s="31">
        <v>0</v>
      </c>
      <c r="F961" s="31">
        <v>0</v>
      </c>
      <c r="G961" s="31">
        <v>0</v>
      </c>
      <c r="H961" s="31">
        <v>0</v>
      </c>
      <c r="I961" s="31">
        <v>0</v>
      </c>
      <c r="J961" s="31">
        <v>0</v>
      </c>
      <c r="K961" s="33">
        <v>0</v>
      </c>
      <c r="L961" s="31">
        <v>0</v>
      </c>
      <c r="M961" s="31">
        <v>0</v>
      </c>
      <c r="N961" s="31">
        <v>0</v>
      </c>
      <c r="O961" s="31">
        <v>0</v>
      </c>
      <c r="P961" s="31">
        <v>0</v>
      </c>
      <c r="Q961" s="31">
        <v>1536</v>
      </c>
      <c r="R961" s="31">
        <v>5087571.43</v>
      </c>
      <c r="S961" s="31">
        <v>0</v>
      </c>
      <c r="T961" s="31">
        <v>0</v>
      </c>
      <c r="U961" s="31">
        <v>0</v>
      </c>
      <c r="V961" s="31">
        <v>0</v>
      </c>
      <c r="W961" s="31">
        <v>0</v>
      </c>
      <c r="X961" s="31">
        <v>0</v>
      </c>
      <c r="Y961" s="31">
        <v>0</v>
      </c>
      <c r="Z961" s="31">
        <v>0</v>
      </c>
      <c r="AA961" s="31">
        <v>0</v>
      </c>
      <c r="AB961" s="31">
        <v>0</v>
      </c>
      <c r="AC961" s="31">
        <f t="shared" ref="AC961" si="417">ROUND(R961*1.5%,2)</f>
        <v>76313.570000000007</v>
      </c>
      <c r="AD961" s="31">
        <v>0</v>
      </c>
      <c r="AE961" s="31">
        <v>0</v>
      </c>
      <c r="AF961" s="34" t="s">
        <v>274</v>
      </c>
      <c r="AG961" s="34">
        <v>2022</v>
      </c>
      <c r="AH961" s="35">
        <v>2022</v>
      </c>
      <c r="AT961" s="20" t="e">
        <f t="shared" si="415"/>
        <v>#N/A</v>
      </c>
    </row>
    <row r="962" spans="1:46" ht="61.5" x14ac:dyDescent="0.85">
      <c r="A962" s="20">
        <v>1</v>
      </c>
      <c r="B962" s="66">
        <f>SUBTOTAL(103,$A$929:A962)</f>
        <v>34</v>
      </c>
      <c r="C962" s="24" t="s">
        <v>623</v>
      </c>
      <c r="D962" s="31">
        <f t="shared" si="413"/>
        <v>4343671.0699999994</v>
      </c>
      <c r="E962" s="31">
        <v>0</v>
      </c>
      <c r="F962" s="31">
        <v>0</v>
      </c>
      <c r="G962" s="31">
        <v>0</v>
      </c>
      <c r="H962" s="31">
        <v>0</v>
      </c>
      <c r="I962" s="31">
        <v>0</v>
      </c>
      <c r="J962" s="31">
        <v>0</v>
      </c>
      <c r="K962" s="33">
        <v>0</v>
      </c>
      <c r="L962" s="31">
        <v>0</v>
      </c>
      <c r="M962" s="31">
        <v>939.1</v>
      </c>
      <c r="N962" s="31">
        <v>4279478.8899999997</v>
      </c>
      <c r="O962" s="31">
        <v>0</v>
      </c>
      <c r="P962" s="31">
        <v>0</v>
      </c>
      <c r="Q962" s="31">
        <v>0</v>
      </c>
      <c r="R962" s="31">
        <v>0</v>
      </c>
      <c r="S962" s="31">
        <v>0</v>
      </c>
      <c r="T962" s="31">
        <v>0</v>
      </c>
      <c r="U962" s="31">
        <v>0</v>
      </c>
      <c r="V962" s="31">
        <v>0</v>
      </c>
      <c r="W962" s="31">
        <v>0</v>
      </c>
      <c r="X962" s="31">
        <v>0</v>
      </c>
      <c r="Y962" s="31">
        <v>0</v>
      </c>
      <c r="Z962" s="31">
        <v>0</v>
      </c>
      <c r="AA962" s="31">
        <v>0</v>
      </c>
      <c r="AB962" s="31">
        <v>0</v>
      </c>
      <c r="AC962" s="31">
        <f t="shared" ref="AC962:AC963" si="418">ROUND(N962*1.5%,2)</f>
        <v>64192.18</v>
      </c>
      <c r="AD962" s="31">
        <v>0</v>
      </c>
      <c r="AE962" s="31">
        <v>0</v>
      </c>
      <c r="AF962" s="34" t="s">
        <v>274</v>
      </c>
      <c r="AG962" s="34">
        <v>2022</v>
      </c>
      <c r="AH962" s="35">
        <v>2022</v>
      </c>
      <c r="AT962" s="20" t="e">
        <f t="shared" si="415"/>
        <v>#N/A</v>
      </c>
    </row>
    <row r="963" spans="1:46" ht="61.5" x14ac:dyDescent="0.85">
      <c r="A963" s="20">
        <v>1</v>
      </c>
      <c r="B963" s="66">
        <f>SUBTOTAL(103,$A$929:A963)</f>
        <v>35</v>
      </c>
      <c r="C963" s="24" t="s">
        <v>624</v>
      </c>
      <c r="D963" s="31">
        <f t="shared" si="413"/>
        <v>2694844.11</v>
      </c>
      <c r="E963" s="31">
        <v>0</v>
      </c>
      <c r="F963" s="31">
        <v>0</v>
      </c>
      <c r="G963" s="31">
        <v>0</v>
      </c>
      <c r="H963" s="31">
        <v>0</v>
      </c>
      <c r="I963" s="31">
        <v>0</v>
      </c>
      <c r="J963" s="31">
        <v>0</v>
      </c>
      <c r="K963" s="33">
        <v>0</v>
      </c>
      <c r="L963" s="31">
        <v>0</v>
      </c>
      <c r="M963" s="31">
        <v>588</v>
      </c>
      <c r="N963" s="31">
        <v>2655018.83</v>
      </c>
      <c r="O963" s="31">
        <v>0</v>
      </c>
      <c r="P963" s="31">
        <v>0</v>
      </c>
      <c r="Q963" s="31">
        <v>0</v>
      </c>
      <c r="R963" s="31">
        <v>0</v>
      </c>
      <c r="S963" s="31">
        <v>0</v>
      </c>
      <c r="T963" s="31">
        <v>0</v>
      </c>
      <c r="U963" s="31">
        <v>0</v>
      </c>
      <c r="V963" s="31">
        <v>0</v>
      </c>
      <c r="W963" s="31">
        <v>0</v>
      </c>
      <c r="X963" s="31">
        <v>0</v>
      </c>
      <c r="Y963" s="31">
        <v>0</v>
      </c>
      <c r="Z963" s="31">
        <v>0</v>
      </c>
      <c r="AA963" s="31">
        <v>0</v>
      </c>
      <c r="AB963" s="31">
        <v>0</v>
      </c>
      <c r="AC963" s="31">
        <f t="shared" si="418"/>
        <v>39825.279999999999</v>
      </c>
      <c r="AD963" s="31">
        <v>0</v>
      </c>
      <c r="AE963" s="31">
        <v>0</v>
      </c>
      <c r="AF963" s="34" t="s">
        <v>274</v>
      </c>
      <c r="AG963" s="34">
        <v>2022</v>
      </c>
      <c r="AH963" s="35">
        <v>2022</v>
      </c>
      <c r="AT963" s="20" t="e">
        <f t="shared" si="415"/>
        <v>#N/A</v>
      </c>
    </row>
    <row r="964" spans="1:46" ht="61.5" x14ac:dyDescent="0.85">
      <c r="A964" s="20">
        <v>1</v>
      </c>
      <c r="B964" s="66">
        <f>SUBTOTAL(103,$A$929:A964)</f>
        <v>36</v>
      </c>
      <c r="C964" s="24" t="s">
        <v>625</v>
      </c>
      <c r="D964" s="31">
        <f t="shared" si="413"/>
        <v>4820291</v>
      </c>
      <c r="E964" s="31">
        <v>0</v>
      </c>
      <c r="F964" s="31">
        <v>0</v>
      </c>
      <c r="G964" s="31">
        <v>0</v>
      </c>
      <c r="H964" s="31">
        <v>0</v>
      </c>
      <c r="I964" s="31">
        <v>0</v>
      </c>
      <c r="J964" s="31">
        <v>0</v>
      </c>
      <c r="K964" s="33">
        <v>0</v>
      </c>
      <c r="L964" s="31">
        <v>0</v>
      </c>
      <c r="M964" s="31">
        <v>0</v>
      </c>
      <c r="N964" s="31">
        <v>0</v>
      </c>
      <c r="O964" s="31">
        <v>0</v>
      </c>
      <c r="P964" s="31">
        <v>0</v>
      </c>
      <c r="Q964" s="31">
        <v>1425</v>
      </c>
      <c r="R964" s="31">
        <v>4749055</v>
      </c>
      <c r="S964" s="31">
        <v>0</v>
      </c>
      <c r="T964" s="31">
        <v>0</v>
      </c>
      <c r="U964" s="31">
        <v>0</v>
      </c>
      <c r="V964" s="31">
        <v>0</v>
      </c>
      <c r="W964" s="31">
        <v>0</v>
      </c>
      <c r="X964" s="31">
        <v>0</v>
      </c>
      <c r="Y964" s="31">
        <v>0</v>
      </c>
      <c r="Z964" s="31">
        <v>0</v>
      </c>
      <c r="AA964" s="31">
        <v>0</v>
      </c>
      <c r="AB964" s="31">
        <v>0</v>
      </c>
      <c r="AC964" s="31">
        <v>71236</v>
      </c>
      <c r="AD964" s="31">
        <v>0</v>
      </c>
      <c r="AE964" s="31">
        <v>0</v>
      </c>
      <c r="AF964" s="34" t="s">
        <v>274</v>
      </c>
      <c r="AG964" s="34">
        <v>2022</v>
      </c>
      <c r="AH964" s="35">
        <v>2022</v>
      </c>
      <c r="AT964" s="20" t="e">
        <f t="shared" si="415"/>
        <v>#N/A</v>
      </c>
    </row>
    <row r="965" spans="1:46" ht="61.5" x14ac:dyDescent="0.85">
      <c r="A965" s="20">
        <v>1</v>
      </c>
      <c r="B965" s="66">
        <f>SUBTOTAL(103,$A$929:A965)</f>
        <v>37</v>
      </c>
      <c r="C965" s="24" t="s">
        <v>626</v>
      </c>
      <c r="D965" s="31">
        <f t="shared" si="413"/>
        <v>2571262.73</v>
      </c>
      <c r="E965" s="31">
        <v>0</v>
      </c>
      <c r="F965" s="31">
        <v>0</v>
      </c>
      <c r="G965" s="31">
        <v>0</v>
      </c>
      <c r="H965" s="31">
        <v>0</v>
      </c>
      <c r="I965" s="31">
        <v>0</v>
      </c>
      <c r="J965" s="31">
        <v>0</v>
      </c>
      <c r="K965" s="33">
        <v>0</v>
      </c>
      <c r="L965" s="31">
        <v>0</v>
      </c>
      <c r="M965" s="31">
        <v>562</v>
      </c>
      <c r="N965" s="31">
        <v>2533263.77</v>
      </c>
      <c r="O965" s="31">
        <v>0</v>
      </c>
      <c r="P965" s="31">
        <v>0</v>
      </c>
      <c r="Q965" s="31">
        <v>0</v>
      </c>
      <c r="R965" s="31">
        <v>0</v>
      </c>
      <c r="S965" s="31">
        <v>0</v>
      </c>
      <c r="T965" s="31">
        <v>0</v>
      </c>
      <c r="U965" s="31">
        <v>0</v>
      </c>
      <c r="V965" s="31">
        <v>0</v>
      </c>
      <c r="W965" s="31">
        <v>0</v>
      </c>
      <c r="X965" s="31">
        <v>0</v>
      </c>
      <c r="Y965" s="31">
        <v>0</v>
      </c>
      <c r="Z965" s="31">
        <v>0</v>
      </c>
      <c r="AA965" s="31">
        <v>0</v>
      </c>
      <c r="AB965" s="31">
        <v>0</v>
      </c>
      <c r="AC965" s="31">
        <f t="shared" ref="AC965:AC977" si="419">ROUND(N965*1.5%,2)</f>
        <v>37998.959999999999</v>
      </c>
      <c r="AD965" s="31">
        <v>0</v>
      </c>
      <c r="AE965" s="31">
        <v>0</v>
      </c>
      <c r="AF965" s="34" t="s">
        <v>274</v>
      </c>
      <c r="AG965" s="34">
        <v>2022</v>
      </c>
      <c r="AH965" s="35">
        <v>2022</v>
      </c>
      <c r="AT965" s="20" t="e">
        <f t="shared" si="415"/>
        <v>#N/A</v>
      </c>
    </row>
    <row r="966" spans="1:46" ht="61.5" x14ac:dyDescent="0.85">
      <c r="A966" s="20">
        <v>1</v>
      </c>
      <c r="B966" s="66">
        <f>SUBTOTAL(103,$A$929:A966)</f>
        <v>38</v>
      </c>
      <c r="C966" s="24" t="s">
        <v>627</v>
      </c>
      <c r="D966" s="31">
        <f t="shared" si="413"/>
        <v>1989100.53</v>
      </c>
      <c r="E966" s="31">
        <v>0</v>
      </c>
      <c r="F966" s="31">
        <v>0</v>
      </c>
      <c r="G966" s="31">
        <v>0</v>
      </c>
      <c r="H966" s="31">
        <v>0</v>
      </c>
      <c r="I966" s="31">
        <v>0</v>
      </c>
      <c r="J966" s="31">
        <v>0</v>
      </c>
      <c r="K966" s="33">
        <v>0</v>
      </c>
      <c r="L966" s="31">
        <v>0</v>
      </c>
      <c r="M966" s="31">
        <v>400</v>
      </c>
      <c r="N966" s="31">
        <v>1959704.96</v>
      </c>
      <c r="O966" s="31">
        <v>0</v>
      </c>
      <c r="P966" s="31">
        <v>0</v>
      </c>
      <c r="Q966" s="31">
        <v>0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1">
        <v>0</v>
      </c>
      <c r="Y966" s="31">
        <v>0</v>
      </c>
      <c r="Z966" s="31">
        <v>0</v>
      </c>
      <c r="AA966" s="31">
        <v>0</v>
      </c>
      <c r="AB966" s="31">
        <v>0</v>
      </c>
      <c r="AC966" s="31">
        <f t="shared" si="419"/>
        <v>29395.57</v>
      </c>
      <c r="AD966" s="31">
        <v>0</v>
      </c>
      <c r="AE966" s="31">
        <v>0</v>
      </c>
      <c r="AF966" s="34" t="s">
        <v>274</v>
      </c>
      <c r="AG966" s="34">
        <v>2022</v>
      </c>
      <c r="AH966" s="35">
        <v>2022</v>
      </c>
      <c r="AT966" s="20" t="e">
        <f t="shared" si="415"/>
        <v>#N/A</v>
      </c>
    </row>
    <row r="967" spans="1:46" ht="61.5" x14ac:dyDescent="0.85">
      <c r="A967" s="20">
        <v>1</v>
      </c>
      <c r="B967" s="66">
        <f>SUBTOTAL(103,$A$929:A967)</f>
        <v>39</v>
      </c>
      <c r="C967" s="24" t="s">
        <v>628</v>
      </c>
      <c r="D967" s="31">
        <f t="shared" si="413"/>
        <v>4272967.33</v>
      </c>
      <c r="E967" s="31">
        <v>0</v>
      </c>
      <c r="F967" s="31">
        <v>0</v>
      </c>
      <c r="G967" s="31">
        <v>0</v>
      </c>
      <c r="H967" s="31">
        <v>0</v>
      </c>
      <c r="I967" s="31">
        <v>0</v>
      </c>
      <c r="J967" s="31">
        <v>0</v>
      </c>
      <c r="K967" s="33">
        <v>0</v>
      </c>
      <c r="L967" s="31">
        <v>0</v>
      </c>
      <c r="M967" s="31">
        <v>960</v>
      </c>
      <c r="N967" s="31">
        <v>4209820.03</v>
      </c>
      <c r="O967" s="31">
        <v>0</v>
      </c>
      <c r="P967" s="31">
        <v>0</v>
      </c>
      <c r="Q967" s="31">
        <v>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1">
        <v>0</v>
      </c>
      <c r="Y967" s="31">
        <v>0</v>
      </c>
      <c r="Z967" s="31">
        <v>0</v>
      </c>
      <c r="AA967" s="31">
        <v>0</v>
      </c>
      <c r="AB967" s="31">
        <v>0</v>
      </c>
      <c r="AC967" s="31">
        <f t="shared" si="419"/>
        <v>63147.3</v>
      </c>
      <c r="AD967" s="31">
        <v>0</v>
      </c>
      <c r="AE967" s="31">
        <v>0</v>
      </c>
      <c r="AF967" s="34" t="s">
        <v>274</v>
      </c>
      <c r="AG967" s="34">
        <v>2022</v>
      </c>
      <c r="AH967" s="35">
        <v>2022</v>
      </c>
      <c r="AT967" s="20" t="e">
        <f t="shared" si="415"/>
        <v>#N/A</v>
      </c>
    </row>
    <row r="968" spans="1:46" ht="61.5" x14ac:dyDescent="0.85">
      <c r="A968" s="20">
        <v>1</v>
      </c>
      <c r="B968" s="66">
        <f>SUBTOTAL(103,$A$929:A968)</f>
        <v>40</v>
      </c>
      <c r="C968" s="24" t="s">
        <v>629</v>
      </c>
      <c r="D968" s="31">
        <f t="shared" si="413"/>
        <v>4272967.33</v>
      </c>
      <c r="E968" s="31">
        <v>0</v>
      </c>
      <c r="F968" s="31">
        <v>0</v>
      </c>
      <c r="G968" s="31">
        <v>0</v>
      </c>
      <c r="H968" s="31">
        <v>0</v>
      </c>
      <c r="I968" s="31">
        <v>0</v>
      </c>
      <c r="J968" s="31">
        <v>0</v>
      </c>
      <c r="K968" s="33">
        <v>0</v>
      </c>
      <c r="L968" s="31">
        <v>0</v>
      </c>
      <c r="M968" s="31">
        <v>960</v>
      </c>
      <c r="N968" s="31">
        <v>4209820.03</v>
      </c>
      <c r="O968" s="31">
        <v>0</v>
      </c>
      <c r="P968" s="31">
        <v>0</v>
      </c>
      <c r="Q968" s="31">
        <v>0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1">
        <v>0</v>
      </c>
      <c r="Y968" s="31">
        <v>0</v>
      </c>
      <c r="Z968" s="31">
        <v>0</v>
      </c>
      <c r="AA968" s="31">
        <v>0</v>
      </c>
      <c r="AB968" s="31">
        <v>0</v>
      </c>
      <c r="AC968" s="31">
        <f t="shared" si="419"/>
        <v>63147.3</v>
      </c>
      <c r="AD968" s="31">
        <v>0</v>
      </c>
      <c r="AE968" s="31">
        <v>0</v>
      </c>
      <c r="AF968" s="34" t="s">
        <v>274</v>
      </c>
      <c r="AG968" s="34">
        <v>2022</v>
      </c>
      <c r="AH968" s="35">
        <v>2022</v>
      </c>
      <c r="AT968" s="20" t="e">
        <f t="shared" ref="AT968:AT976" si="420">VLOOKUP(C968,AW:AX,2,FALSE)</f>
        <v>#N/A</v>
      </c>
    </row>
    <row r="969" spans="1:46" ht="61.5" x14ac:dyDescent="0.85">
      <c r="A969" s="20">
        <v>1</v>
      </c>
      <c r="B969" s="66">
        <f>SUBTOTAL(103,$A$929:A969)</f>
        <v>41</v>
      </c>
      <c r="C969" s="24" t="s">
        <v>630</v>
      </c>
      <c r="D969" s="31">
        <f t="shared" si="413"/>
        <v>1633943.5899999999</v>
      </c>
      <c r="E969" s="31">
        <v>0</v>
      </c>
      <c r="F969" s="31">
        <v>0</v>
      </c>
      <c r="G969" s="31">
        <v>0</v>
      </c>
      <c r="H969" s="31">
        <v>0</v>
      </c>
      <c r="I969" s="31">
        <v>0</v>
      </c>
      <c r="J969" s="31">
        <v>0</v>
      </c>
      <c r="K969" s="33">
        <v>0</v>
      </c>
      <c r="L969" s="31">
        <v>0</v>
      </c>
      <c r="M969" s="31">
        <v>364.8</v>
      </c>
      <c r="N969" s="31">
        <v>1609796.64</v>
      </c>
      <c r="O969" s="31">
        <v>0</v>
      </c>
      <c r="P969" s="31">
        <v>0</v>
      </c>
      <c r="Q969" s="31">
        <v>0</v>
      </c>
      <c r="R969" s="31">
        <v>0</v>
      </c>
      <c r="S969" s="31">
        <v>0</v>
      </c>
      <c r="T969" s="31">
        <v>0</v>
      </c>
      <c r="U969" s="31">
        <v>0</v>
      </c>
      <c r="V969" s="31">
        <v>0</v>
      </c>
      <c r="W969" s="31">
        <v>0</v>
      </c>
      <c r="X969" s="31">
        <v>0</v>
      </c>
      <c r="Y969" s="31">
        <v>0</v>
      </c>
      <c r="Z969" s="31">
        <v>0</v>
      </c>
      <c r="AA969" s="31">
        <v>0</v>
      </c>
      <c r="AB969" s="31">
        <v>0</v>
      </c>
      <c r="AC969" s="31">
        <f t="shared" si="419"/>
        <v>24146.95</v>
      </c>
      <c r="AD969" s="31">
        <v>0</v>
      </c>
      <c r="AE969" s="31">
        <v>0</v>
      </c>
      <c r="AF969" s="34" t="s">
        <v>274</v>
      </c>
      <c r="AG969" s="34">
        <v>2022</v>
      </c>
      <c r="AH969" s="35">
        <v>2022</v>
      </c>
      <c r="AT969" s="20" t="e">
        <f t="shared" si="420"/>
        <v>#N/A</v>
      </c>
    </row>
    <row r="970" spans="1:46" ht="61.5" x14ac:dyDescent="0.85">
      <c r="A970" s="20">
        <v>1</v>
      </c>
      <c r="B970" s="66">
        <f>SUBTOTAL(103,$A$929:A970)</f>
        <v>42</v>
      </c>
      <c r="C970" s="24" t="s">
        <v>631</v>
      </c>
      <c r="D970" s="31">
        <f t="shared" si="413"/>
        <v>4272967.33</v>
      </c>
      <c r="E970" s="31">
        <v>0</v>
      </c>
      <c r="F970" s="31">
        <v>0</v>
      </c>
      <c r="G970" s="31">
        <v>0</v>
      </c>
      <c r="H970" s="31">
        <v>0</v>
      </c>
      <c r="I970" s="31">
        <v>0</v>
      </c>
      <c r="J970" s="31">
        <v>0</v>
      </c>
      <c r="K970" s="33">
        <v>0</v>
      </c>
      <c r="L970" s="31">
        <v>0</v>
      </c>
      <c r="M970" s="31">
        <v>960</v>
      </c>
      <c r="N970" s="31">
        <v>4209820.03</v>
      </c>
      <c r="O970" s="31">
        <v>0</v>
      </c>
      <c r="P970" s="31">
        <v>0</v>
      </c>
      <c r="Q970" s="31">
        <v>0</v>
      </c>
      <c r="R970" s="31">
        <v>0</v>
      </c>
      <c r="S970" s="31">
        <v>0</v>
      </c>
      <c r="T970" s="31">
        <v>0</v>
      </c>
      <c r="U970" s="31">
        <v>0</v>
      </c>
      <c r="V970" s="31">
        <v>0</v>
      </c>
      <c r="W970" s="31">
        <v>0</v>
      </c>
      <c r="X970" s="31">
        <v>0</v>
      </c>
      <c r="Y970" s="31">
        <v>0</v>
      </c>
      <c r="Z970" s="31">
        <v>0</v>
      </c>
      <c r="AA970" s="31">
        <v>0</v>
      </c>
      <c r="AB970" s="31">
        <v>0</v>
      </c>
      <c r="AC970" s="31">
        <f t="shared" si="419"/>
        <v>63147.3</v>
      </c>
      <c r="AD970" s="31">
        <v>0</v>
      </c>
      <c r="AE970" s="31">
        <v>0</v>
      </c>
      <c r="AF970" s="34" t="s">
        <v>274</v>
      </c>
      <c r="AG970" s="34">
        <v>2022</v>
      </c>
      <c r="AH970" s="35">
        <v>2022</v>
      </c>
      <c r="AT970" s="20" t="e">
        <f t="shared" si="420"/>
        <v>#N/A</v>
      </c>
    </row>
    <row r="971" spans="1:46" ht="61.5" x14ac:dyDescent="0.85">
      <c r="A971" s="20">
        <v>1</v>
      </c>
      <c r="B971" s="66">
        <f>SUBTOTAL(103,$A$929:A971)</f>
        <v>43</v>
      </c>
      <c r="C971" s="24" t="s">
        <v>632</v>
      </c>
      <c r="D971" s="31">
        <f t="shared" si="413"/>
        <v>4272967.33</v>
      </c>
      <c r="E971" s="31">
        <v>0</v>
      </c>
      <c r="F971" s="31">
        <v>0</v>
      </c>
      <c r="G971" s="31">
        <v>0</v>
      </c>
      <c r="H971" s="31">
        <v>0</v>
      </c>
      <c r="I971" s="31">
        <v>0</v>
      </c>
      <c r="J971" s="31">
        <v>0</v>
      </c>
      <c r="K971" s="33">
        <v>0</v>
      </c>
      <c r="L971" s="31">
        <v>0</v>
      </c>
      <c r="M971" s="31">
        <v>960</v>
      </c>
      <c r="N971" s="31">
        <v>4209820.03</v>
      </c>
      <c r="O971" s="31">
        <v>0</v>
      </c>
      <c r="P971" s="31">
        <v>0</v>
      </c>
      <c r="Q971" s="31">
        <v>0</v>
      </c>
      <c r="R971" s="31">
        <v>0</v>
      </c>
      <c r="S971" s="31">
        <v>0</v>
      </c>
      <c r="T971" s="31">
        <v>0</v>
      </c>
      <c r="U971" s="31">
        <v>0</v>
      </c>
      <c r="V971" s="31">
        <v>0</v>
      </c>
      <c r="W971" s="31">
        <v>0</v>
      </c>
      <c r="X971" s="31">
        <v>0</v>
      </c>
      <c r="Y971" s="31">
        <v>0</v>
      </c>
      <c r="Z971" s="31">
        <v>0</v>
      </c>
      <c r="AA971" s="31">
        <v>0</v>
      </c>
      <c r="AB971" s="31">
        <v>0</v>
      </c>
      <c r="AC971" s="31">
        <f t="shared" si="419"/>
        <v>63147.3</v>
      </c>
      <c r="AD971" s="31">
        <v>0</v>
      </c>
      <c r="AE971" s="31">
        <v>0</v>
      </c>
      <c r="AF971" s="34" t="s">
        <v>274</v>
      </c>
      <c r="AG971" s="34">
        <v>2022</v>
      </c>
      <c r="AH971" s="35">
        <v>2022</v>
      </c>
      <c r="AT971" s="20" t="e">
        <f t="shared" si="420"/>
        <v>#N/A</v>
      </c>
    </row>
    <row r="972" spans="1:46" ht="61.5" x14ac:dyDescent="0.85">
      <c r="A972" s="20">
        <v>1</v>
      </c>
      <c r="B972" s="66">
        <f>SUBTOTAL(103,$A$929:A972)</f>
        <v>44</v>
      </c>
      <c r="C972" s="24" t="s">
        <v>633</v>
      </c>
      <c r="D972" s="31">
        <f t="shared" si="413"/>
        <v>3064601.1799999997</v>
      </c>
      <c r="E972" s="31">
        <v>0</v>
      </c>
      <c r="F972" s="31">
        <v>0</v>
      </c>
      <c r="G972" s="31">
        <v>0</v>
      </c>
      <c r="H972" s="31">
        <v>0</v>
      </c>
      <c r="I972" s="31">
        <v>0</v>
      </c>
      <c r="J972" s="31">
        <v>0</v>
      </c>
      <c r="K972" s="33">
        <v>0</v>
      </c>
      <c r="L972" s="31">
        <v>0</v>
      </c>
      <c r="M972" s="31">
        <v>670</v>
      </c>
      <c r="N972" s="31">
        <v>3019311.51</v>
      </c>
      <c r="O972" s="31">
        <v>0</v>
      </c>
      <c r="P972" s="31">
        <v>0</v>
      </c>
      <c r="Q972" s="31">
        <v>0</v>
      </c>
      <c r="R972" s="31">
        <v>0</v>
      </c>
      <c r="S972" s="31">
        <v>0</v>
      </c>
      <c r="T972" s="31">
        <v>0</v>
      </c>
      <c r="U972" s="31">
        <v>0</v>
      </c>
      <c r="V972" s="31">
        <v>0</v>
      </c>
      <c r="W972" s="31">
        <v>0</v>
      </c>
      <c r="X972" s="31">
        <v>0</v>
      </c>
      <c r="Y972" s="31">
        <v>0</v>
      </c>
      <c r="Z972" s="31">
        <v>0</v>
      </c>
      <c r="AA972" s="31">
        <v>0</v>
      </c>
      <c r="AB972" s="31">
        <v>0</v>
      </c>
      <c r="AC972" s="31">
        <f t="shared" si="419"/>
        <v>45289.67</v>
      </c>
      <c r="AD972" s="31">
        <v>0</v>
      </c>
      <c r="AE972" s="31">
        <v>0</v>
      </c>
      <c r="AF972" s="34" t="s">
        <v>274</v>
      </c>
      <c r="AG972" s="34">
        <v>2022</v>
      </c>
      <c r="AH972" s="35">
        <v>2022</v>
      </c>
      <c r="AT972" s="20" t="e">
        <f t="shared" si="420"/>
        <v>#N/A</v>
      </c>
    </row>
    <row r="973" spans="1:46" ht="61.5" x14ac:dyDescent="0.85">
      <c r="A973" s="20">
        <v>1</v>
      </c>
      <c r="B973" s="66">
        <f>SUBTOTAL(103,$A$929:A973)</f>
        <v>45</v>
      </c>
      <c r="C973" s="24" t="s">
        <v>634</v>
      </c>
      <c r="D973" s="31">
        <f t="shared" si="413"/>
        <v>1046986.94</v>
      </c>
      <c r="E973" s="31">
        <v>0</v>
      </c>
      <c r="F973" s="31">
        <v>0</v>
      </c>
      <c r="G973" s="31">
        <v>0</v>
      </c>
      <c r="H973" s="31">
        <v>0</v>
      </c>
      <c r="I973" s="31">
        <v>0</v>
      </c>
      <c r="J973" s="31">
        <v>0</v>
      </c>
      <c r="K973" s="33">
        <v>0</v>
      </c>
      <c r="L973" s="31">
        <v>0</v>
      </c>
      <c r="M973" s="31">
        <v>235</v>
      </c>
      <c r="N973" s="31">
        <v>1031514.23</v>
      </c>
      <c r="O973" s="31">
        <v>0</v>
      </c>
      <c r="P973" s="31">
        <v>0</v>
      </c>
      <c r="Q973" s="31">
        <v>0</v>
      </c>
      <c r="R973" s="31">
        <v>0</v>
      </c>
      <c r="S973" s="31">
        <v>0</v>
      </c>
      <c r="T973" s="31">
        <v>0</v>
      </c>
      <c r="U973" s="31">
        <v>0</v>
      </c>
      <c r="V973" s="31">
        <v>0</v>
      </c>
      <c r="W973" s="31">
        <v>0</v>
      </c>
      <c r="X973" s="31">
        <v>0</v>
      </c>
      <c r="Y973" s="31">
        <v>0</v>
      </c>
      <c r="Z973" s="31">
        <v>0</v>
      </c>
      <c r="AA973" s="31">
        <v>0</v>
      </c>
      <c r="AB973" s="31">
        <v>0</v>
      </c>
      <c r="AC973" s="31">
        <f t="shared" si="419"/>
        <v>15472.71</v>
      </c>
      <c r="AD973" s="31">
        <v>0</v>
      </c>
      <c r="AE973" s="31">
        <v>0</v>
      </c>
      <c r="AF973" s="34" t="s">
        <v>274</v>
      </c>
      <c r="AG973" s="34">
        <v>2022</v>
      </c>
      <c r="AH973" s="35">
        <v>2022</v>
      </c>
      <c r="AT973" s="20" t="e">
        <f t="shared" si="420"/>
        <v>#N/A</v>
      </c>
    </row>
    <row r="974" spans="1:46" ht="61.5" x14ac:dyDescent="0.85">
      <c r="A974" s="20">
        <v>1</v>
      </c>
      <c r="B974" s="66">
        <f>SUBTOTAL(103,$A$929:A974)</f>
        <v>46</v>
      </c>
      <c r="C974" s="24" t="s">
        <v>635</v>
      </c>
      <c r="D974" s="31">
        <f t="shared" si="413"/>
        <v>3516149.44</v>
      </c>
      <c r="E974" s="31">
        <v>0</v>
      </c>
      <c r="F974" s="31">
        <v>0</v>
      </c>
      <c r="G974" s="31">
        <v>0</v>
      </c>
      <c r="H974" s="31">
        <v>0</v>
      </c>
      <c r="I974" s="31">
        <v>0</v>
      </c>
      <c r="J974" s="31">
        <v>0</v>
      </c>
      <c r="K974" s="33">
        <v>0</v>
      </c>
      <c r="L974" s="31">
        <v>0</v>
      </c>
      <c r="M974" s="31">
        <v>765</v>
      </c>
      <c r="N974" s="31">
        <v>3464186.64</v>
      </c>
      <c r="O974" s="31">
        <v>0</v>
      </c>
      <c r="P974" s="31">
        <v>0</v>
      </c>
      <c r="Q974" s="31">
        <v>0</v>
      </c>
      <c r="R974" s="31">
        <v>0</v>
      </c>
      <c r="S974" s="31">
        <v>0</v>
      </c>
      <c r="T974" s="31">
        <v>0</v>
      </c>
      <c r="U974" s="31">
        <v>0</v>
      </c>
      <c r="V974" s="31">
        <v>0</v>
      </c>
      <c r="W974" s="31">
        <v>0</v>
      </c>
      <c r="X974" s="31">
        <v>0</v>
      </c>
      <c r="Y974" s="31">
        <v>0</v>
      </c>
      <c r="Z974" s="31">
        <v>0</v>
      </c>
      <c r="AA974" s="31">
        <v>0</v>
      </c>
      <c r="AB974" s="31">
        <v>0</v>
      </c>
      <c r="AC974" s="31">
        <f t="shared" si="419"/>
        <v>51962.8</v>
      </c>
      <c r="AD974" s="31">
        <v>0</v>
      </c>
      <c r="AE974" s="31">
        <v>0</v>
      </c>
      <c r="AF974" s="34" t="s">
        <v>274</v>
      </c>
      <c r="AG974" s="34">
        <v>2022</v>
      </c>
      <c r="AH974" s="35">
        <v>2022</v>
      </c>
      <c r="AT974" s="20" t="e">
        <f t="shared" si="420"/>
        <v>#N/A</v>
      </c>
    </row>
    <row r="975" spans="1:46" ht="61.5" x14ac:dyDescent="0.85">
      <c r="A975" s="20">
        <v>1</v>
      </c>
      <c r="B975" s="66">
        <f>SUBTOTAL(103,$A$929:A975)</f>
        <v>47</v>
      </c>
      <c r="C975" s="24" t="s">
        <v>636</v>
      </c>
      <c r="D975" s="31">
        <f t="shared" si="413"/>
        <v>3493334.35</v>
      </c>
      <c r="E975" s="31">
        <v>0</v>
      </c>
      <c r="F975" s="31">
        <v>0</v>
      </c>
      <c r="G975" s="31">
        <v>0</v>
      </c>
      <c r="H975" s="31">
        <v>0</v>
      </c>
      <c r="I975" s="31">
        <v>0</v>
      </c>
      <c r="J975" s="31">
        <v>0</v>
      </c>
      <c r="K975" s="33">
        <v>0</v>
      </c>
      <c r="L975" s="31">
        <v>0</v>
      </c>
      <c r="M975" s="31">
        <v>760.2</v>
      </c>
      <c r="N975" s="31">
        <v>3441708.72</v>
      </c>
      <c r="O975" s="31">
        <v>0</v>
      </c>
      <c r="P975" s="31">
        <v>0</v>
      </c>
      <c r="Q975" s="31">
        <v>0</v>
      </c>
      <c r="R975" s="31">
        <v>0</v>
      </c>
      <c r="S975" s="31">
        <v>0</v>
      </c>
      <c r="T975" s="31">
        <v>0</v>
      </c>
      <c r="U975" s="31">
        <v>0</v>
      </c>
      <c r="V975" s="31">
        <v>0</v>
      </c>
      <c r="W975" s="31">
        <v>0</v>
      </c>
      <c r="X975" s="31">
        <v>0</v>
      </c>
      <c r="Y975" s="31">
        <v>0</v>
      </c>
      <c r="Z975" s="31">
        <v>0</v>
      </c>
      <c r="AA975" s="31">
        <v>0</v>
      </c>
      <c r="AB975" s="31">
        <v>0</v>
      </c>
      <c r="AC975" s="31">
        <f t="shared" si="419"/>
        <v>51625.63</v>
      </c>
      <c r="AD975" s="31">
        <v>0</v>
      </c>
      <c r="AE975" s="31">
        <v>0</v>
      </c>
      <c r="AF975" s="34" t="s">
        <v>274</v>
      </c>
      <c r="AG975" s="34">
        <v>2022</v>
      </c>
      <c r="AH975" s="35">
        <v>2022</v>
      </c>
      <c r="AT975" s="20" t="e">
        <f t="shared" si="420"/>
        <v>#N/A</v>
      </c>
    </row>
    <row r="976" spans="1:46" ht="61.5" x14ac:dyDescent="0.85">
      <c r="A976" s="20">
        <v>1</v>
      </c>
      <c r="B976" s="66">
        <f>SUBTOTAL(103,$A$929:A976)</f>
        <v>48</v>
      </c>
      <c r="C976" s="24" t="s">
        <v>637</v>
      </c>
      <c r="D976" s="31">
        <f t="shared" si="413"/>
        <v>2597653.14</v>
      </c>
      <c r="E976" s="31">
        <v>0</v>
      </c>
      <c r="F976" s="31">
        <v>0</v>
      </c>
      <c r="G976" s="31">
        <v>0</v>
      </c>
      <c r="H976" s="31">
        <v>0</v>
      </c>
      <c r="I976" s="31">
        <v>0</v>
      </c>
      <c r="J976" s="31">
        <v>0</v>
      </c>
      <c r="K976" s="33">
        <v>0</v>
      </c>
      <c r="L976" s="31">
        <v>0</v>
      </c>
      <c r="M976" s="31">
        <v>571.76</v>
      </c>
      <c r="N976" s="31">
        <v>2559264.1800000002</v>
      </c>
      <c r="O976" s="31">
        <v>0</v>
      </c>
      <c r="P976" s="31">
        <v>0</v>
      </c>
      <c r="Q976" s="31">
        <v>0</v>
      </c>
      <c r="R976" s="31">
        <v>0</v>
      </c>
      <c r="S976" s="31">
        <v>0</v>
      </c>
      <c r="T976" s="31">
        <v>0</v>
      </c>
      <c r="U976" s="31">
        <v>0</v>
      </c>
      <c r="V976" s="31">
        <v>0</v>
      </c>
      <c r="W976" s="31">
        <v>0</v>
      </c>
      <c r="X976" s="31">
        <v>0</v>
      </c>
      <c r="Y976" s="31">
        <v>0</v>
      </c>
      <c r="Z976" s="31">
        <v>0</v>
      </c>
      <c r="AA976" s="31">
        <v>0</v>
      </c>
      <c r="AB976" s="31">
        <v>0</v>
      </c>
      <c r="AC976" s="31">
        <f t="shared" si="419"/>
        <v>38388.959999999999</v>
      </c>
      <c r="AD976" s="31">
        <v>0</v>
      </c>
      <c r="AE976" s="31">
        <v>0</v>
      </c>
      <c r="AF976" s="34" t="s">
        <v>274</v>
      </c>
      <c r="AG976" s="34">
        <v>2022</v>
      </c>
      <c r="AH976" s="35">
        <v>2022</v>
      </c>
      <c r="AT976" s="20" t="e">
        <f t="shared" si="420"/>
        <v>#N/A</v>
      </c>
    </row>
    <row r="977" spans="1:80" ht="61.5" x14ac:dyDescent="0.85">
      <c r="A977" s="20">
        <v>1</v>
      </c>
      <c r="B977" s="66">
        <f>SUBTOTAL(103,$A$929:A977)</f>
        <v>49</v>
      </c>
      <c r="C977" s="24" t="s">
        <v>1459</v>
      </c>
      <c r="D977" s="31">
        <f t="shared" si="413"/>
        <v>7840331.7599999998</v>
      </c>
      <c r="E977" s="31">
        <v>0</v>
      </c>
      <c r="F977" s="31">
        <v>0</v>
      </c>
      <c r="G977" s="31">
        <v>0</v>
      </c>
      <c r="H977" s="31">
        <v>0</v>
      </c>
      <c r="I977" s="31">
        <v>0</v>
      </c>
      <c r="J977" s="31">
        <v>0</v>
      </c>
      <c r="K977" s="33">
        <v>0</v>
      </c>
      <c r="L977" s="31">
        <v>0</v>
      </c>
      <c r="M977" s="31">
        <v>2314</v>
      </c>
      <c r="N977" s="31">
        <v>7724464.79</v>
      </c>
      <c r="O977" s="31">
        <v>0</v>
      </c>
      <c r="P977" s="31">
        <v>0</v>
      </c>
      <c r="Q977" s="31">
        <v>0</v>
      </c>
      <c r="R977" s="31">
        <v>0</v>
      </c>
      <c r="S977" s="31">
        <v>0</v>
      </c>
      <c r="T977" s="31">
        <v>0</v>
      </c>
      <c r="U977" s="31">
        <v>0</v>
      </c>
      <c r="V977" s="31">
        <v>0</v>
      </c>
      <c r="W977" s="31">
        <v>0</v>
      </c>
      <c r="X977" s="31">
        <v>0</v>
      </c>
      <c r="Y977" s="31">
        <v>0</v>
      </c>
      <c r="Z977" s="31">
        <v>0</v>
      </c>
      <c r="AA977" s="31">
        <v>0</v>
      </c>
      <c r="AB977" s="31">
        <v>0</v>
      </c>
      <c r="AC977" s="31">
        <f t="shared" si="419"/>
        <v>115866.97</v>
      </c>
      <c r="AD977" s="31">
        <v>0</v>
      </c>
      <c r="AE977" s="31">
        <v>0</v>
      </c>
      <c r="AF977" s="34" t="s">
        <v>274</v>
      </c>
      <c r="AG977" s="34">
        <v>2022</v>
      </c>
      <c r="AH977" s="35">
        <v>2022</v>
      </c>
    </row>
    <row r="978" spans="1:80" ht="61.5" x14ac:dyDescent="0.85">
      <c r="A978" s="20">
        <v>1</v>
      </c>
      <c r="B978" s="66">
        <f>SUBTOTAL(103,$A$929:A978)</f>
        <v>50</v>
      </c>
      <c r="C978" s="24" t="s">
        <v>638</v>
      </c>
      <c r="D978" s="31">
        <f t="shared" si="413"/>
        <v>6342333</v>
      </c>
      <c r="E978" s="31">
        <v>0</v>
      </c>
      <c r="F978" s="31">
        <v>0</v>
      </c>
      <c r="G978" s="31">
        <v>0</v>
      </c>
      <c r="H978" s="31">
        <v>0</v>
      </c>
      <c r="I978" s="31">
        <v>0</v>
      </c>
      <c r="J978" s="31">
        <v>0</v>
      </c>
      <c r="K978" s="33">
        <v>3</v>
      </c>
      <c r="L978" s="31">
        <v>6342333</v>
      </c>
      <c r="M978" s="31">
        <v>0</v>
      </c>
      <c r="N978" s="31">
        <v>0</v>
      </c>
      <c r="O978" s="31">
        <v>0</v>
      </c>
      <c r="P978" s="31">
        <v>0</v>
      </c>
      <c r="Q978" s="31">
        <v>0</v>
      </c>
      <c r="R978" s="31">
        <v>0</v>
      </c>
      <c r="S978" s="31">
        <v>0</v>
      </c>
      <c r="T978" s="31">
        <v>0</v>
      </c>
      <c r="U978" s="31">
        <v>0</v>
      </c>
      <c r="V978" s="31">
        <v>0</v>
      </c>
      <c r="W978" s="31">
        <v>0</v>
      </c>
      <c r="X978" s="31">
        <v>0</v>
      </c>
      <c r="Y978" s="31">
        <v>0</v>
      </c>
      <c r="Z978" s="31">
        <v>0</v>
      </c>
      <c r="AA978" s="31">
        <v>0</v>
      </c>
      <c r="AB978" s="31">
        <v>0</v>
      </c>
      <c r="AC978" s="31">
        <v>0</v>
      </c>
      <c r="AD978" s="31">
        <v>0</v>
      </c>
      <c r="AE978" s="31">
        <v>0</v>
      </c>
      <c r="AF978" s="34" t="s">
        <v>274</v>
      </c>
      <c r="AG978" s="34">
        <v>2022</v>
      </c>
      <c r="AH978" s="35" t="s">
        <v>274</v>
      </c>
      <c r="AT978" s="20" t="e">
        <f t="shared" ref="AT978:AT1000" si="421">VLOOKUP(C978,AW:AX,2,FALSE)</f>
        <v>#N/A</v>
      </c>
    </row>
    <row r="979" spans="1:80" ht="61.5" x14ac:dyDescent="0.85">
      <c r="A979" s="20">
        <v>1</v>
      </c>
      <c r="B979" s="66">
        <f>SUBTOTAL(103,$A$929:A979)</f>
        <v>51</v>
      </c>
      <c r="C979" s="24" t="s">
        <v>639</v>
      </c>
      <c r="D979" s="31">
        <f t="shared" si="413"/>
        <v>4404985.5199999996</v>
      </c>
      <c r="E979" s="31">
        <v>0</v>
      </c>
      <c r="F979" s="31">
        <v>0</v>
      </c>
      <c r="G979" s="31">
        <v>0</v>
      </c>
      <c r="H979" s="31">
        <v>0</v>
      </c>
      <c r="I979" s="31">
        <v>0</v>
      </c>
      <c r="J979" s="31">
        <v>0</v>
      </c>
      <c r="K979" s="33">
        <v>0</v>
      </c>
      <c r="L979" s="31">
        <v>0</v>
      </c>
      <c r="M979" s="31">
        <v>952</v>
      </c>
      <c r="N979" s="31">
        <v>4339887.21</v>
      </c>
      <c r="O979" s="31">
        <v>0</v>
      </c>
      <c r="P979" s="31">
        <v>0</v>
      </c>
      <c r="Q979" s="31">
        <v>0</v>
      </c>
      <c r="R979" s="31">
        <v>0</v>
      </c>
      <c r="S979" s="31">
        <v>0</v>
      </c>
      <c r="T979" s="31">
        <v>0</v>
      </c>
      <c r="U979" s="31">
        <v>0</v>
      </c>
      <c r="V979" s="31">
        <v>0</v>
      </c>
      <c r="W979" s="31">
        <v>0</v>
      </c>
      <c r="X979" s="31">
        <v>0</v>
      </c>
      <c r="Y979" s="31">
        <v>0</v>
      </c>
      <c r="Z979" s="31">
        <v>0</v>
      </c>
      <c r="AA979" s="31">
        <v>0</v>
      </c>
      <c r="AB979" s="31">
        <v>0</v>
      </c>
      <c r="AC979" s="31">
        <f t="shared" ref="AC979:AC984" si="422">ROUND(N979*1.5%,2)</f>
        <v>65098.31</v>
      </c>
      <c r="AD979" s="31">
        <v>0</v>
      </c>
      <c r="AE979" s="31">
        <v>0</v>
      </c>
      <c r="AF979" s="34" t="s">
        <v>274</v>
      </c>
      <c r="AG979" s="34">
        <v>2022</v>
      </c>
      <c r="AH979" s="35">
        <v>2022</v>
      </c>
      <c r="AT979" s="20" t="e">
        <f t="shared" si="421"/>
        <v>#N/A</v>
      </c>
    </row>
    <row r="980" spans="1:80" ht="61.5" x14ac:dyDescent="0.85">
      <c r="A980" s="20">
        <v>1</v>
      </c>
      <c r="B980" s="66">
        <f>SUBTOTAL(103,$A$929:A980)</f>
        <v>52</v>
      </c>
      <c r="C980" s="24" t="s">
        <v>640</v>
      </c>
      <c r="D980" s="31">
        <f t="shared" si="413"/>
        <v>7371186.2199999997</v>
      </c>
      <c r="E980" s="31">
        <v>0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3">
        <v>0</v>
      </c>
      <c r="L980" s="31">
        <v>0</v>
      </c>
      <c r="M980" s="31">
        <v>1626.8</v>
      </c>
      <c r="N980" s="31">
        <v>7262252.4299999997</v>
      </c>
      <c r="O980" s="31">
        <v>0</v>
      </c>
      <c r="P980" s="31">
        <v>0</v>
      </c>
      <c r="Q980" s="31">
        <v>0</v>
      </c>
      <c r="R980" s="31">
        <v>0</v>
      </c>
      <c r="S980" s="31">
        <v>0</v>
      </c>
      <c r="T980" s="31">
        <v>0</v>
      </c>
      <c r="U980" s="31">
        <v>0</v>
      </c>
      <c r="V980" s="31">
        <v>0</v>
      </c>
      <c r="W980" s="31">
        <v>0</v>
      </c>
      <c r="X980" s="31">
        <v>0</v>
      </c>
      <c r="Y980" s="31">
        <v>0</v>
      </c>
      <c r="Z980" s="31">
        <v>0</v>
      </c>
      <c r="AA980" s="31">
        <v>0</v>
      </c>
      <c r="AB980" s="31">
        <v>0</v>
      </c>
      <c r="AC980" s="31">
        <f t="shared" si="422"/>
        <v>108933.79</v>
      </c>
      <c r="AD980" s="31">
        <v>0</v>
      </c>
      <c r="AE980" s="31">
        <v>0</v>
      </c>
      <c r="AF980" s="34" t="s">
        <v>274</v>
      </c>
      <c r="AG980" s="34">
        <v>2022</v>
      </c>
      <c r="AH980" s="35">
        <v>2022</v>
      </c>
      <c r="AT980" s="20" t="e">
        <f t="shared" si="421"/>
        <v>#N/A</v>
      </c>
    </row>
    <row r="981" spans="1:80" ht="61.5" x14ac:dyDescent="0.85">
      <c r="A981" s="20">
        <v>1</v>
      </c>
      <c r="B981" s="66">
        <f>SUBTOTAL(103,$A$929:A981)</f>
        <v>53</v>
      </c>
      <c r="C981" s="24" t="s">
        <v>641</v>
      </c>
      <c r="D981" s="31">
        <f t="shared" si="413"/>
        <v>3550462.6100000003</v>
      </c>
      <c r="E981" s="31">
        <v>0</v>
      </c>
      <c r="F981" s="31">
        <v>0</v>
      </c>
      <c r="G981" s="31">
        <v>0</v>
      </c>
      <c r="H981" s="31">
        <v>0</v>
      </c>
      <c r="I981" s="31">
        <v>0</v>
      </c>
      <c r="J981" s="31">
        <v>0</v>
      </c>
      <c r="K981" s="33">
        <v>0</v>
      </c>
      <c r="L981" s="31">
        <v>0</v>
      </c>
      <c r="M981" s="31">
        <v>807.01</v>
      </c>
      <c r="N981" s="31">
        <v>3497992.72</v>
      </c>
      <c r="O981" s="31">
        <v>0</v>
      </c>
      <c r="P981" s="31">
        <v>0</v>
      </c>
      <c r="Q981" s="31">
        <v>0</v>
      </c>
      <c r="R981" s="31">
        <v>0</v>
      </c>
      <c r="S981" s="31">
        <v>0</v>
      </c>
      <c r="T981" s="31">
        <v>0</v>
      </c>
      <c r="U981" s="31">
        <v>0</v>
      </c>
      <c r="V981" s="31">
        <v>0</v>
      </c>
      <c r="W981" s="31">
        <v>0</v>
      </c>
      <c r="X981" s="31">
        <v>0</v>
      </c>
      <c r="Y981" s="31">
        <v>0</v>
      </c>
      <c r="Z981" s="31">
        <v>0</v>
      </c>
      <c r="AA981" s="31">
        <v>0</v>
      </c>
      <c r="AB981" s="31">
        <v>0</v>
      </c>
      <c r="AC981" s="31">
        <f t="shared" si="422"/>
        <v>52469.89</v>
      </c>
      <c r="AD981" s="31">
        <v>0</v>
      </c>
      <c r="AE981" s="31">
        <v>0</v>
      </c>
      <c r="AF981" s="34" t="s">
        <v>274</v>
      </c>
      <c r="AG981" s="34">
        <v>2022</v>
      </c>
      <c r="AH981" s="35">
        <v>2022</v>
      </c>
      <c r="AT981" s="20" t="e">
        <f t="shared" si="421"/>
        <v>#N/A</v>
      </c>
    </row>
    <row r="982" spans="1:80" ht="61.5" x14ac:dyDescent="0.85">
      <c r="A982" s="20">
        <v>1</v>
      </c>
      <c r="B982" s="66">
        <f>SUBTOTAL(103,$A$929:A982)</f>
        <v>54</v>
      </c>
      <c r="C982" s="24" t="s">
        <v>642</v>
      </c>
      <c r="D982" s="31">
        <f t="shared" si="413"/>
        <v>4265711.66</v>
      </c>
      <c r="E982" s="31">
        <v>0</v>
      </c>
      <c r="F982" s="31">
        <v>0</v>
      </c>
      <c r="G982" s="31">
        <v>0</v>
      </c>
      <c r="H982" s="31">
        <v>0</v>
      </c>
      <c r="I982" s="31">
        <v>0</v>
      </c>
      <c r="J982" s="31">
        <v>0</v>
      </c>
      <c r="K982" s="33">
        <v>0</v>
      </c>
      <c r="L982" s="31">
        <v>0</v>
      </c>
      <c r="M982" s="31">
        <v>975</v>
      </c>
      <c r="N982" s="31">
        <v>4202671.59</v>
      </c>
      <c r="O982" s="31">
        <v>0</v>
      </c>
      <c r="P982" s="31">
        <v>0</v>
      </c>
      <c r="Q982" s="31">
        <v>0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1">
        <v>0</v>
      </c>
      <c r="Y982" s="31">
        <v>0</v>
      </c>
      <c r="Z982" s="31">
        <v>0</v>
      </c>
      <c r="AA982" s="31">
        <v>0</v>
      </c>
      <c r="AB982" s="31">
        <v>0</v>
      </c>
      <c r="AC982" s="31">
        <f t="shared" si="422"/>
        <v>63040.07</v>
      </c>
      <c r="AD982" s="31">
        <v>0</v>
      </c>
      <c r="AE982" s="31">
        <v>0</v>
      </c>
      <c r="AF982" s="34" t="s">
        <v>274</v>
      </c>
      <c r="AG982" s="34">
        <v>2022</v>
      </c>
      <c r="AH982" s="35">
        <v>2022</v>
      </c>
      <c r="AT982" s="20" t="e">
        <f t="shared" si="421"/>
        <v>#N/A</v>
      </c>
    </row>
    <row r="983" spans="1:80" ht="61.5" x14ac:dyDescent="0.85">
      <c r="A983" s="20">
        <v>1</v>
      </c>
      <c r="B983" s="66">
        <f>SUBTOTAL(103,$A$929:A983)</f>
        <v>55</v>
      </c>
      <c r="C983" s="24" t="s">
        <v>643</v>
      </c>
      <c r="D983" s="31">
        <f t="shared" si="413"/>
        <v>3545858.66</v>
      </c>
      <c r="E983" s="31">
        <v>0</v>
      </c>
      <c r="F983" s="31">
        <v>0</v>
      </c>
      <c r="G983" s="31">
        <v>0</v>
      </c>
      <c r="H983" s="31">
        <v>0</v>
      </c>
      <c r="I983" s="31">
        <v>0</v>
      </c>
      <c r="J983" s="31">
        <v>0</v>
      </c>
      <c r="K983" s="33">
        <v>0</v>
      </c>
      <c r="L983" s="31">
        <v>0</v>
      </c>
      <c r="M983" s="31">
        <v>771.25</v>
      </c>
      <c r="N983" s="31">
        <v>3493456.81</v>
      </c>
      <c r="O983" s="31">
        <v>0</v>
      </c>
      <c r="P983" s="31">
        <v>0</v>
      </c>
      <c r="Q983" s="31">
        <v>0</v>
      </c>
      <c r="R983" s="31">
        <v>0</v>
      </c>
      <c r="S983" s="31">
        <v>0</v>
      </c>
      <c r="T983" s="31">
        <v>0</v>
      </c>
      <c r="U983" s="31">
        <v>0</v>
      </c>
      <c r="V983" s="31">
        <v>0</v>
      </c>
      <c r="W983" s="31">
        <v>0</v>
      </c>
      <c r="X983" s="31">
        <v>0</v>
      </c>
      <c r="Y983" s="31">
        <v>0</v>
      </c>
      <c r="Z983" s="31">
        <v>0</v>
      </c>
      <c r="AA983" s="31">
        <v>0</v>
      </c>
      <c r="AB983" s="31">
        <v>0</v>
      </c>
      <c r="AC983" s="31">
        <f t="shared" si="422"/>
        <v>52401.85</v>
      </c>
      <c r="AD983" s="31">
        <v>0</v>
      </c>
      <c r="AE983" s="31">
        <v>0</v>
      </c>
      <c r="AF983" s="34" t="s">
        <v>274</v>
      </c>
      <c r="AG983" s="34">
        <v>2022</v>
      </c>
      <c r="AH983" s="35">
        <v>2022</v>
      </c>
      <c r="AT983" s="20" t="e">
        <f t="shared" si="421"/>
        <v>#N/A</v>
      </c>
    </row>
    <row r="984" spans="1:80" ht="61.5" x14ac:dyDescent="0.85">
      <c r="A984" s="20">
        <v>1</v>
      </c>
      <c r="B984" s="66">
        <f>SUBTOTAL(103,$A$929:A984)</f>
        <v>56</v>
      </c>
      <c r="C984" s="24" t="s">
        <v>644</v>
      </c>
      <c r="D984" s="31">
        <f t="shared" si="413"/>
        <v>4460834.87</v>
      </c>
      <c r="E984" s="31">
        <v>0</v>
      </c>
      <c r="F984" s="31">
        <v>0</v>
      </c>
      <c r="G984" s="31">
        <v>0</v>
      </c>
      <c r="H984" s="31">
        <v>0</v>
      </c>
      <c r="I984" s="31">
        <v>0</v>
      </c>
      <c r="J984" s="31">
        <v>0</v>
      </c>
      <c r="K984" s="33">
        <v>0</v>
      </c>
      <c r="L984" s="31">
        <v>0</v>
      </c>
      <c r="M984" s="31">
        <v>963.75</v>
      </c>
      <c r="N984" s="31">
        <v>4394911.2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  <c r="V984" s="31">
        <v>0</v>
      </c>
      <c r="W984" s="31">
        <v>0</v>
      </c>
      <c r="X984" s="31">
        <v>0</v>
      </c>
      <c r="Y984" s="31">
        <v>0</v>
      </c>
      <c r="Z984" s="31">
        <v>0</v>
      </c>
      <c r="AA984" s="31">
        <v>0</v>
      </c>
      <c r="AB984" s="31">
        <v>0</v>
      </c>
      <c r="AC984" s="31">
        <f t="shared" si="422"/>
        <v>65923.67</v>
      </c>
      <c r="AD984" s="31">
        <v>0</v>
      </c>
      <c r="AE984" s="31">
        <v>0</v>
      </c>
      <c r="AF984" s="34" t="s">
        <v>274</v>
      </c>
      <c r="AG984" s="34">
        <v>2022</v>
      </c>
      <c r="AH984" s="35">
        <v>2022</v>
      </c>
      <c r="AT984" s="20" t="e">
        <f t="shared" si="421"/>
        <v>#N/A</v>
      </c>
    </row>
    <row r="985" spans="1:80" ht="61.5" x14ac:dyDescent="0.85">
      <c r="A985" s="20">
        <v>1</v>
      </c>
      <c r="B985" s="66">
        <f>SUBTOTAL(103,$A$929:A985)</f>
        <v>57</v>
      </c>
      <c r="C985" s="24" t="s">
        <v>515</v>
      </c>
      <c r="D985" s="31">
        <f t="shared" si="413"/>
        <v>2100000</v>
      </c>
      <c r="E985" s="31">
        <v>0</v>
      </c>
      <c r="F985" s="31">
        <v>0</v>
      </c>
      <c r="G985" s="31">
        <v>0</v>
      </c>
      <c r="H985" s="31">
        <v>0</v>
      </c>
      <c r="I985" s="31">
        <v>0</v>
      </c>
      <c r="J985" s="31">
        <v>0</v>
      </c>
      <c r="K985" s="33">
        <v>1</v>
      </c>
      <c r="L985" s="31">
        <v>2100000</v>
      </c>
      <c r="M985" s="31">
        <v>0</v>
      </c>
      <c r="N985" s="31">
        <v>0</v>
      </c>
      <c r="O985" s="31">
        <v>0</v>
      </c>
      <c r="P985" s="31">
        <v>0</v>
      </c>
      <c r="Q985" s="31">
        <v>0</v>
      </c>
      <c r="R985" s="31">
        <v>0</v>
      </c>
      <c r="S985" s="31">
        <v>0</v>
      </c>
      <c r="T985" s="31">
        <v>0</v>
      </c>
      <c r="U985" s="31">
        <v>0</v>
      </c>
      <c r="V985" s="31">
        <v>0</v>
      </c>
      <c r="W985" s="31">
        <v>0</v>
      </c>
      <c r="X985" s="31">
        <v>0</v>
      </c>
      <c r="Y985" s="31">
        <v>0</v>
      </c>
      <c r="Z985" s="31">
        <v>0</v>
      </c>
      <c r="AA985" s="31">
        <v>0</v>
      </c>
      <c r="AB985" s="31">
        <v>0</v>
      </c>
      <c r="AC985" s="31">
        <v>0</v>
      </c>
      <c r="AD985" s="31">
        <v>0</v>
      </c>
      <c r="AE985" s="31">
        <v>0</v>
      </c>
      <c r="AF985" s="34" t="s">
        <v>274</v>
      </c>
      <c r="AG985" s="34">
        <v>2022</v>
      </c>
      <c r="AH985" s="35" t="s">
        <v>274</v>
      </c>
      <c r="AT985" s="20" t="e">
        <f t="shared" si="421"/>
        <v>#N/A</v>
      </c>
    </row>
    <row r="986" spans="1:80" ht="61.5" x14ac:dyDescent="0.85">
      <c r="A986" s="20">
        <v>1</v>
      </c>
      <c r="B986" s="66">
        <f>SUBTOTAL(103,$A$929:A986)</f>
        <v>58</v>
      </c>
      <c r="C986" s="24" t="s">
        <v>1134</v>
      </c>
      <c r="D986" s="31">
        <f t="shared" si="413"/>
        <v>6300000</v>
      </c>
      <c r="E986" s="31">
        <v>0</v>
      </c>
      <c r="F986" s="31">
        <v>0</v>
      </c>
      <c r="G986" s="31">
        <v>0</v>
      </c>
      <c r="H986" s="31">
        <v>0</v>
      </c>
      <c r="I986" s="31">
        <v>0</v>
      </c>
      <c r="J986" s="31">
        <v>0</v>
      </c>
      <c r="K986" s="33">
        <v>3</v>
      </c>
      <c r="L986" s="31">
        <v>6300000</v>
      </c>
      <c r="M986" s="31">
        <v>0</v>
      </c>
      <c r="N986" s="31">
        <v>0</v>
      </c>
      <c r="O986" s="31">
        <v>0</v>
      </c>
      <c r="P986" s="31">
        <v>0</v>
      </c>
      <c r="Q986" s="31">
        <v>0</v>
      </c>
      <c r="R986" s="31">
        <v>0</v>
      </c>
      <c r="S986" s="31">
        <v>0</v>
      </c>
      <c r="T986" s="31">
        <v>0</v>
      </c>
      <c r="U986" s="31">
        <v>0</v>
      </c>
      <c r="V986" s="31">
        <v>0</v>
      </c>
      <c r="W986" s="31">
        <v>0</v>
      </c>
      <c r="X986" s="31">
        <v>0</v>
      </c>
      <c r="Y986" s="31">
        <v>0</v>
      </c>
      <c r="Z986" s="31">
        <v>0</v>
      </c>
      <c r="AA986" s="31">
        <v>0</v>
      </c>
      <c r="AB986" s="31">
        <v>0</v>
      </c>
      <c r="AC986" s="31">
        <v>0</v>
      </c>
      <c r="AD986" s="31">
        <v>0</v>
      </c>
      <c r="AE986" s="31">
        <v>0</v>
      </c>
      <c r="AF986" s="34" t="s">
        <v>274</v>
      </c>
      <c r="AG986" s="34">
        <v>2022</v>
      </c>
      <c r="AH986" s="35" t="s">
        <v>274</v>
      </c>
      <c r="AT986" s="20" t="e">
        <f t="shared" si="421"/>
        <v>#N/A</v>
      </c>
    </row>
    <row r="987" spans="1:80" ht="61.5" x14ac:dyDescent="0.85">
      <c r="B987" s="24" t="s">
        <v>799</v>
      </c>
      <c r="C987" s="117"/>
      <c r="D987" s="31">
        <f>SUM(D988:D1001)</f>
        <v>45048314.759999998</v>
      </c>
      <c r="E987" s="31">
        <f t="shared" ref="E987:AE987" si="423">SUM(E988:E1001)</f>
        <v>0</v>
      </c>
      <c r="F987" s="31">
        <f t="shared" si="423"/>
        <v>0</v>
      </c>
      <c r="G987" s="31">
        <f t="shared" si="423"/>
        <v>0</v>
      </c>
      <c r="H987" s="31">
        <f t="shared" si="423"/>
        <v>415281.24</v>
      </c>
      <c r="I987" s="31">
        <f t="shared" si="423"/>
        <v>0</v>
      </c>
      <c r="J987" s="31">
        <f t="shared" si="423"/>
        <v>0</v>
      </c>
      <c r="K987" s="33">
        <f t="shared" si="423"/>
        <v>0</v>
      </c>
      <c r="L987" s="31">
        <f t="shared" si="423"/>
        <v>0</v>
      </c>
      <c r="M987" s="31">
        <f t="shared" si="423"/>
        <v>7862.4100000000008</v>
      </c>
      <c r="N987" s="31">
        <f t="shared" si="423"/>
        <v>41918033.790000007</v>
      </c>
      <c r="O987" s="31">
        <f t="shared" si="423"/>
        <v>0</v>
      </c>
      <c r="P987" s="31">
        <f t="shared" si="423"/>
        <v>0</v>
      </c>
      <c r="Q987" s="31">
        <f t="shared" si="423"/>
        <v>0</v>
      </c>
      <c r="R987" s="31">
        <f t="shared" si="423"/>
        <v>0</v>
      </c>
      <c r="S987" s="31">
        <f t="shared" si="423"/>
        <v>0</v>
      </c>
      <c r="T987" s="31">
        <f t="shared" si="423"/>
        <v>0</v>
      </c>
      <c r="U987" s="31">
        <f t="shared" si="423"/>
        <v>0</v>
      </c>
      <c r="V987" s="31">
        <f t="shared" si="423"/>
        <v>0</v>
      </c>
      <c r="W987" s="31">
        <f t="shared" si="423"/>
        <v>0</v>
      </c>
      <c r="X987" s="31">
        <f t="shared" si="423"/>
        <v>0</v>
      </c>
      <c r="Y987" s="31">
        <f t="shared" si="423"/>
        <v>0</v>
      </c>
      <c r="Z987" s="31">
        <f t="shared" si="423"/>
        <v>0</v>
      </c>
      <c r="AA987" s="31">
        <f t="shared" si="423"/>
        <v>0</v>
      </c>
      <c r="AB987" s="31">
        <f t="shared" si="423"/>
        <v>0</v>
      </c>
      <c r="AC987" s="31">
        <f t="shared" si="423"/>
        <v>634999.73</v>
      </c>
      <c r="AD987" s="31">
        <f t="shared" si="423"/>
        <v>1960000</v>
      </c>
      <c r="AE987" s="31">
        <f t="shared" si="423"/>
        <v>120000</v>
      </c>
      <c r="AF987" s="72" t="s">
        <v>794</v>
      </c>
      <c r="AG987" s="72" t="s">
        <v>794</v>
      </c>
      <c r="AH987" s="91" t="s">
        <v>794</v>
      </c>
      <c r="AT987" s="20" t="e">
        <f t="shared" si="421"/>
        <v>#N/A</v>
      </c>
      <c r="BZ987" s="31">
        <v>45048314.759999998</v>
      </c>
      <c r="CA987" s="31"/>
      <c r="CB987" s="31">
        <f>BZ987-D987</f>
        <v>0</v>
      </c>
    </row>
    <row r="988" spans="1:80" ht="61.5" x14ac:dyDescent="0.85">
      <c r="A988" s="20">
        <v>1</v>
      </c>
      <c r="B988" s="66">
        <f>SUBTOTAL(103,$A$929:A988)</f>
        <v>59</v>
      </c>
      <c r="C988" s="24" t="s">
        <v>485</v>
      </c>
      <c r="D988" s="31">
        <f t="shared" ref="D988:D1001" si="424">E988+F988+G988+H988+I988+J988+L988+N988+P988+R988+T988+U988+V988+W988+X988+Y988+Z988+AA988+AB988+AC988+AD988+AE988</f>
        <v>3951259.39</v>
      </c>
      <c r="E988" s="32">
        <v>0</v>
      </c>
      <c r="F988" s="32">
        <v>0</v>
      </c>
      <c r="G988" s="32">
        <v>0</v>
      </c>
      <c r="H988" s="32">
        <v>0</v>
      </c>
      <c r="I988" s="32">
        <v>0</v>
      </c>
      <c r="J988" s="32">
        <v>0</v>
      </c>
      <c r="K988" s="86">
        <v>0</v>
      </c>
      <c r="L988" s="32">
        <v>0</v>
      </c>
      <c r="M988" s="31">
        <v>648.4</v>
      </c>
      <c r="N988" s="31">
        <v>3745083.14</v>
      </c>
      <c r="O988" s="32">
        <v>0</v>
      </c>
      <c r="P988" s="32">
        <v>0</v>
      </c>
      <c r="Q988" s="32">
        <v>0</v>
      </c>
      <c r="R988" s="32">
        <v>0</v>
      </c>
      <c r="S988" s="32">
        <v>0</v>
      </c>
      <c r="T988" s="32">
        <v>0</v>
      </c>
      <c r="U988" s="32">
        <v>0</v>
      </c>
      <c r="V988" s="32">
        <v>0</v>
      </c>
      <c r="W988" s="32">
        <v>0</v>
      </c>
      <c r="X988" s="32">
        <v>0</v>
      </c>
      <c r="Y988" s="32">
        <v>0</v>
      </c>
      <c r="Z988" s="32">
        <v>0</v>
      </c>
      <c r="AA988" s="31">
        <v>0</v>
      </c>
      <c r="AB988" s="31">
        <v>0</v>
      </c>
      <c r="AC988" s="31">
        <f t="shared" ref="AC988:AC992" si="425">ROUND(N988*1.5%,2)</f>
        <v>56176.25</v>
      </c>
      <c r="AD988" s="31">
        <v>150000</v>
      </c>
      <c r="AE988" s="31">
        <v>0</v>
      </c>
      <c r="AF988" s="34">
        <v>2022</v>
      </c>
      <c r="AG988" s="34">
        <v>2022</v>
      </c>
      <c r="AH988" s="35">
        <v>2022</v>
      </c>
      <c r="AT988" s="20" t="e">
        <f t="shared" si="421"/>
        <v>#N/A</v>
      </c>
    </row>
    <row r="989" spans="1:80" ht="61.5" x14ac:dyDescent="0.85">
      <c r="A989" s="20">
        <v>1</v>
      </c>
      <c r="B989" s="66">
        <f>SUBTOTAL(103,$A$929:A989)</f>
        <v>60</v>
      </c>
      <c r="C989" s="24" t="s">
        <v>486</v>
      </c>
      <c r="D989" s="31">
        <f t="shared" si="424"/>
        <v>2999201</v>
      </c>
      <c r="E989" s="32">
        <v>0</v>
      </c>
      <c r="F989" s="32">
        <v>0</v>
      </c>
      <c r="G989" s="32">
        <v>0</v>
      </c>
      <c r="H989" s="32">
        <v>0</v>
      </c>
      <c r="I989" s="32">
        <v>0</v>
      </c>
      <c r="J989" s="32">
        <v>0</v>
      </c>
      <c r="K989" s="86">
        <v>0</v>
      </c>
      <c r="L989" s="32">
        <v>0</v>
      </c>
      <c r="M989" s="31">
        <v>547</v>
      </c>
      <c r="N989" s="31">
        <v>2807094.58</v>
      </c>
      <c r="O989" s="32">
        <v>0</v>
      </c>
      <c r="P989" s="32">
        <v>0</v>
      </c>
      <c r="Q989" s="32">
        <v>0</v>
      </c>
      <c r="R989" s="32">
        <v>0</v>
      </c>
      <c r="S989" s="32">
        <v>0</v>
      </c>
      <c r="T989" s="32">
        <v>0</v>
      </c>
      <c r="U989" s="32">
        <v>0</v>
      </c>
      <c r="V989" s="32">
        <v>0</v>
      </c>
      <c r="W989" s="32">
        <v>0</v>
      </c>
      <c r="X989" s="32">
        <v>0</v>
      </c>
      <c r="Y989" s="32">
        <v>0</v>
      </c>
      <c r="Z989" s="32">
        <v>0</v>
      </c>
      <c r="AA989" s="31">
        <v>0</v>
      </c>
      <c r="AB989" s="31">
        <v>0</v>
      </c>
      <c r="AC989" s="31">
        <f t="shared" si="425"/>
        <v>42106.42</v>
      </c>
      <c r="AD989" s="31">
        <v>150000</v>
      </c>
      <c r="AE989" s="31">
        <v>0</v>
      </c>
      <c r="AF989" s="34">
        <v>2022</v>
      </c>
      <c r="AG989" s="34">
        <v>2022</v>
      </c>
      <c r="AH989" s="35">
        <v>2022</v>
      </c>
      <c r="AT989" s="20" t="e">
        <f t="shared" si="421"/>
        <v>#N/A</v>
      </c>
    </row>
    <row r="990" spans="1:80" ht="61.5" x14ac:dyDescent="0.85">
      <c r="A990" s="20">
        <v>1</v>
      </c>
      <c r="B990" s="66">
        <f>SUBTOTAL(103,$A$929:A990)</f>
        <v>61</v>
      </c>
      <c r="C990" s="24" t="s">
        <v>487</v>
      </c>
      <c r="D990" s="31">
        <f t="shared" si="424"/>
        <v>2584541.12</v>
      </c>
      <c r="E990" s="32">
        <v>0</v>
      </c>
      <c r="F990" s="32">
        <v>0</v>
      </c>
      <c r="G990" s="32">
        <v>0</v>
      </c>
      <c r="H990" s="32">
        <v>0</v>
      </c>
      <c r="I990" s="32">
        <v>0</v>
      </c>
      <c r="J990" s="32">
        <v>0</v>
      </c>
      <c r="K990" s="86">
        <v>0</v>
      </c>
      <c r="L990" s="32">
        <v>0</v>
      </c>
      <c r="M990" s="31">
        <v>493.2</v>
      </c>
      <c r="N990" s="31">
        <v>2428119.33</v>
      </c>
      <c r="O990" s="32">
        <v>0</v>
      </c>
      <c r="P990" s="32">
        <v>0</v>
      </c>
      <c r="Q990" s="32">
        <v>0</v>
      </c>
      <c r="R990" s="32">
        <v>0</v>
      </c>
      <c r="S990" s="32">
        <v>0</v>
      </c>
      <c r="T990" s="32">
        <v>0</v>
      </c>
      <c r="U990" s="32">
        <v>0</v>
      </c>
      <c r="V990" s="32">
        <v>0</v>
      </c>
      <c r="W990" s="32">
        <v>0</v>
      </c>
      <c r="X990" s="32">
        <v>0</v>
      </c>
      <c r="Y990" s="32">
        <v>0</v>
      </c>
      <c r="Z990" s="32">
        <v>0</v>
      </c>
      <c r="AA990" s="31">
        <v>0</v>
      </c>
      <c r="AB990" s="31">
        <v>0</v>
      </c>
      <c r="AC990" s="31">
        <f t="shared" si="425"/>
        <v>36421.79</v>
      </c>
      <c r="AD990" s="31">
        <v>120000</v>
      </c>
      <c r="AE990" s="31">
        <v>0</v>
      </c>
      <c r="AF990" s="34">
        <v>2022</v>
      </c>
      <c r="AG990" s="34">
        <v>2022</v>
      </c>
      <c r="AH990" s="35">
        <v>2022</v>
      </c>
      <c r="AT990" s="20" t="e">
        <f t="shared" si="421"/>
        <v>#N/A</v>
      </c>
    </row>
    <row r="991" spans="1:80" ht="61.5" x14ac:dyDescent="0.85">
      <c r="A991" s="20">
        <v>1</v>
      </c>
      <c r="B991" s="66">
        <f>SUBTOTAL(103,$A$929:A991)</f>
        <v>62</v>
      </c>
      <c r="C991" s="24" t="s">
        <v>488</v>
      </c>
      <c r="D991" s="31">
        <f t="shared" si="424"/>
        <v>6581549.3999999994</v>
      </c>
      <c r="E991" s="32">
        <v>0</v>
      </c>
      <c r="F991" s="32">
        <v>0</v>
      </c>
      <c r="G991" s="32">
        <v>0</v>
      </c>
      <c r="H991" s="32">
        <v>0</v>
      </c>
      <c r="I991" s="32">
        <v>0</v>
      </c>
      <c r="J991" s="32">
        <v>0</v>
      </c>
      <c r="K991" s="86">
        <v>0</v>
      </c>
      <c r="L991" s="32">
        <v>0</v>
      </c>
      <c r="M991" s="31">
        <v>1130</v>
      </c>
      <c r="N991" s="31">
        <v>6306945.2199999997</v>
      </c>
      <c r="O991" s="32">
        <v>0</v>
      </c>
      <c r="P991" s="32">
        <v>0</v>
      </c>
      <c r="Q991" s="32">
        <v>0</v>
      </c>
      <c r="R991" s="32">
        <v>0</v>
      </c>
      <c r="S991" s="32">
        <v>0</v>
      </c>
      <c r="T991" s="32">
        <v>0</v>
      </c>
      <c r="U991" s="32">
        <v>0</v>
      </c>
      <c r="V991" s="32">
        <v>0</v>
      </c>
      <c r="W991" s="32">
        <v>0</v>
      </c>
      <c r="X991" s="32">
        <v>0</v>
      </c>
      <c r="Y991" s="32">
        <v>0</v>
      </c>
      <c r="Z991" s="32">
        <v>0</v>
      </c>
      <c r="AA991" s="31">
        <v>0</v>
      </c>
      <c r="AB991" s="31">
        <v>0</v>
      </c>
      <c r="AC991" s="31">
        <f t="shared" si="425"/>
        <v>94604.18</v>
      </c>
      <c r="AD991" s="31">
        <v>180000</v>
      </c>
      <c r="AE991" s="31">
        <v>0</v>
      </c>
      <c r="AF991" s="34">
        <v>2022</v>
      </c>
      <c r="AG991" s="34">
        <v>2022</v>
      </c>
      <c r="AH991" s="35">
        <v>2022</v>
      </c>
      <c r="AT991" s="20" t="e">
        <f t="shared" si="421"/>
        <v>#N/A</v>
      </c>
    </row>
    <row r="992" spans="1:80" ht="61.5" x14ac:dyDescent="0.85">
      <c r="A992" s="20">
        <v>1</v>
      </c>
      <c r="B992" s="66">
        <f>SUBTOTAL(103,$A$929:A992)</f>
        <v>63</v>
      </c>
      <c r="C992" s="24" t="s">
        <v>489</v>
      </c>
      <c r="D992" s="31">
        <f t="shared" si="424"/>
        <v>4737312</v>
      </c>
      <c r="E992" s="32">
        <v>0</v>
      </c>
      <c r="F992" s="32">
        <v>0</v>
      </c>
      <c r="G992" s="32">
        <v>0</v>
      </c>
      <c r="H992" s="32">
        <v>0</v>
      </c>
      <c r="I992" s="32">
        <v>0</v>
      </c>
      <c r="J992" s="32">
        <v>0</v>
      </c>
      <c r="K992" s="86">
        <v>0</v>
      </c>
      <c r="L992" s="32">
        <v>0</v>
      </c>
      <c r="M992" s="31">
        <v>864</v>
      </c>
      <c r="N992" s="31">
        <v>4519519.21</v>
      </c>
      <c r="O992" s="32">
        <v>0</v>
      </c>
      <c r="P992" s="32">
        <v>0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  <c r="V992" s="32">
        <v>0</v>
      </c>
      <c r="W992" s="32">
        <v>0</v>
      </c>
      <c r="X992" s="32">
        <v>0</v>
      </c>
      <c r="Y992" s="32">
        <v>0</v>
      </c>
      <c r="Z992" s="32">
        <v>0</v>
      </c>
      <c r="AA992" s="31">
        <v>0</v>
      </c>
      <c r="AB992" s="31">
        <v>0</v>
      </c>
      <c r="AC992" s="31">
        <f t="shared" si="425"/>
        <v>67792.789999999994</v>
      </c>
      <c r="AD992" s="31">
        <v>150000</v>
      </c>
      <c r="AE992" s="31">
        <v>0</v>
      </c>
      <c r="AF992" s="34">
        <v>2022</v>
      </c>
      <c r="AG992" s="34">
        <v>2022</v>
      </c>
      <c r="AH992" s="35">
        <v>2022</v>
      </c>
      <c r="AT992" s="20" t="e">
        <f t="shared" si="421"/>
        <v>#N/A</v>
      </c>
    </row>
    <row r="993" spans="1:46" ht="61.5" x14ac:dyDescent="0.85">
      <c r="A993" s="20">
        <v>1</v>
      </c>
      <c r="B993" s="66">
        <f>SUBTOTAL(103,$A$929:A993)</f>
        <v>64</v>
      </c>
      <c r="C993" s="24" t="s">
        <v>490</v>
      </c>
      <c r="D993" s="31">
        <f t="shared" si="424"/>
        <v>491510.45999999996</v>
      </c>
      <c r="E993" s="32">
        <v>0</v>
      </c>
      <c r="F993" s="32">
        <v>0</v>
      </c>
      <c r="G993" s="32">
        <v>0</v>
      </c>
      <c r="H993" s="31">
        <v>415281.24</v>
      </c>
      <c r="I993" s="32">
        <v>0</v>
      </c>
      <c r="J993" s="32">
        <v>0</v>
      </c>
      <c r="K993" s="86">
        <v>0</v>
      </c>
      <c r="L993" s="32">
        <v>0</v>
      </c>
      <c r="M993" s="31">
        <v>0</v>
      </c>
      <c r="N993" s="31">
        <v>0</v>
      </c>
      <c r="O993" s="32">
        <v>0</v>
      </c>
      <c r="P993" s="32">
        <v>0</v>
      </c>
      <c r="Q993" s="32">
        <v>0</v>
      </c>
      <c r="R993" s="32">
        <v>0</v>
      </c>
      <c r="S993" s="32">
        <v>0</v>
      </c>
      <c r="T993" s="32">
        <v>0</v>
      </c>
      <c r="U993" s="32">
        <v>0</v>
      </c>
      <c r="V993" s="32">
        <v>0</v>
      </c>
      <c r="W993" s="32">
        <v>0</v>
      </c>
      <c r="X993" s="32">
        <v>0</v>
      </c>
      <c r="Y993" s="32">
        <v>0</v>
      </c>
      <c r="Z993" s="32">
        <v>0</v>
      </c>
      <c r="AA993" s="31">
        <v>0</v>
      </c>
      <c r="AB993" s="31">
        <v>0</v>
      </c>
      <c r="AC993" s="31">
        <f>ROUND((E993+F993+G993+H993+I993+J993)*1.5%,2)</f>
        <v>6229.22</v>
      </c>
      <c r="AD993" s="31">
        <v>70000</v>
      </c>
      <c r="AE993" s="31">
        <v>0</v>
      </c>
      <c r="AF993" s="34">
        <v>2022</v>
      </c>
      <c r="AG993" s="34">
        <v>2022</v>
      </c>
      <c r="AH993" s="35">
        <v>2022</v>
      </c>
      <c r="AT993" s="20" t="e">
        <f t="shared" si="421"/>
        <v>#N/A</v>
      </c>
    </row>
    <row r="994" spans="1:46" ht="61.5" x14ac:dyDescent="0.85">
      <c r="A994" s="20">
        <v>1</v>
      </c>
      <c r="B994" s="66">
        <f>SUBTOTAL(103,$A$929:A994)</f>
        <v>65</v>
      </c>
      <c r="C994" s="24" t="s">
        <v>491</v>
      </c>
      <c r="D994" s="31">
        <f t="shared" si="424"/>
        <v>3422817.5799999996</v>
      </c>
      <c r="E994" s="32">
        <v>0</v>
      </c>
      <c r="F994" s="32">
        <v>0</v>
      </c>
      <c r="G994" s="32">
        <v>0</v>
      </c>
      <c r="H994" s="32">
        <v>0</v>
      </c>
      <c r="I994" s="32">
        <v>0</v>
      </c>
      <c r="J994" s="32">
        <v>0</v>
      </c>
      <c r="K994" s="86">
        <v>0</v>
      </c>
      <c r="L994" s="32">
        <v>0</v>
      </c>
      <c r="M994" s="31">
        <v>624.26</v>
      </c>
      <c r="N994" s="31">
        <v>3224450.82</v>
      </c>
      <c r="O994" s="32">
        <v>0</v>
      </c>
      <c r="P994" s="32">
        <v>0</v>
      </c>
      <c r="Q994" s="32">
        <v>0</v>
      </c>
      <c r="R994" s="32">
        <v>0</v>
      </c>
      <c r="S994" s="32">
        <v>0</v>
      </c>
      <c r="T994" s="32">
        <v>0</v>
      </c>
      <c r="U994" s="32">
        <v>0</v>
      </c>
      <c r="V994" s="32">
        <v>0</v>
      </c>
      <c r="W994" s="32">
        <v>0</v>
      </c>
      <c r="X994" s="32">
        <v>0</v>
      </c>
      <c r="Y994" s="32">
        <v>0</v>
      </c>
      <c r="Z994" s="32">
        <v>0</v>
      </c>
      <c r="AA994" s="31">
        <v>0</v>
      </c>
      <c r="AB994" s="31">
        <v>0</v>
      </c>
      <c r="AC994" s="31">
        <f t="shared" ref="AC994:AC999" si="426">ROUND(N994*1.5%,2)</f>
        <v>48366.76</v>
      </c>
      <c r="AD994" s="31">
        <v>150000</v>
      </c>
      <c r="AE994" s="31">
        <v>0</v>
      </c>
      <c r="AF994" s="34">
        <v>2022</v>
      </c>
      <c r="AG994" s="34">
        <v>2022</v>
      </c>
      <c r="AH994" s="35">
        <v>2022</v>
      </c>
      <c r="AT994" s="20" t="e">
        <f t="shared" si="421"/>
        <v>#N/A</v>
      </c>
    </row>
    <row r="995" spans="1:46" ht="61.5" x14ac:dyDescent="0.85">
      <c r="A995" s="20">
        <v>1</v>
      </c>
      <c r="B995" s="66">
        <f>SUBTOTAL(103,$A$929:A995)</f>
        <v>66</v>
      </c>
      <c r="C995" s="24" t="s">
        <v>492</v>
      </c>
      <c r="D995" s="31">
        <f t="shared" si="424"/>
        <v>2888444.4</v>
      </c>
      <c r="E995" s="32">
        <v>0</v>
      </c>
      <c r="F995" s="32">
        <v>0</v>
      </c>
      <c r="G995" s="32">
        <v>0</v>
      </c>
      <c r="H995" s="32">
        <v>0</v>
      </c>
      <c r="I995" s="32">
        <v>0</v>
      </c>
      <c r="J995" s="32">
        <v>0</v>
      </c>
      <c r="K995" s="86">
        <v>0</v>
      </c>
      <c r="L995" s="32">
        <v>0</v>
      </c>
      <c r="M995" s="31">
        <v>526.79999999999995</v>
      </c>
      <c r="N995" s="31">
        <v>2697974.78</v>
      </c>
      <c r="O995" s="32">
        <v>0</v>
      </c>
      <c r="P995" s="32">
        <v>0</v>
      </c>
      <c r="Q995" s="32">
        <v>0</v>
      </c>
      <c r="R995" s="32">
        <v>0</v>
      </c>
      <c r="S995" s="32">
        <v>0</v>
      </c>
      <c r="T995" s="32">
        <v>0</v>
      </c>
      <c r="U995" s="32">
        <v>0</v>
      </c>
      <c r="V995" s="32">
        <v>0</v>
      </c>
      <c r="W995" s="32">
        <v>0</v>
      </c>
      <c r="X995" s="32">
        <v>0</v>
      </c>
      <c r="Y995" s="32">
        <v>0</v>
      </c>
      <c r="Z995" s="32">
        <v>0</v>
      </c>
      <c r="AA995" s="31">
        <v>0</v>
      </c>
      <c r="AB995" s="31">
        <v>0</v>
      </c>
      <c r="AC995" s="31">
        <f t="shared" si="426"/>
        <v>40469.620000000003</v>
      </c>
      <c r="AD995" s="31">
        <v>150000</v>
      </c>
      <c r="AE995" s="31">
        <v>0</v>
      </c>
      <c r="AF995" s="34">
        <v>2022</v>
      </c>
      <c r="AG995" s="34">
        <v>2022</v>
      </c>
      <c r="AH995" s="35">
        <v>2022</v>
      </c>
      <c r="AT995" s="20" t="e">
        <f t="shared" si="421"/>
        <v>#N/A</v>
      </c>
    </row>
    <row r="996" spans="1:46" ht="61.5" x14ac:dyDescent="0.85">
      <c r="A996" s="20">
        <v>1</v>
      </c>
      <c r="B996" s="66">
        <f>SUBTOTAL(103,$A$929:A996)</f>
        <v>67</v>
      </c>
      <c r="C996" s="24" t="s">
        <v>493</v>
      </c>
      <c r="D996" s="31">
        <f t="shared" si="424"/>
        <v>3422817.5799999996</v>
      </c>
      <c r="E996" s="32">
        <v>0</v>
      </c>
      <c r="F996" s="32">
        <v>0</v>
      </c>
      <c r="G996" s="32">
        <v>0</v>
      </c>
      <c r="H996" s="32">
        <v>0</v>
      </c>
      <c r="I996" s="32">
        <v>0</v>
      </c>
      <c r="J996" s="32">
        <v>0</v>
      </c>
      <c r="K996" s="86">
        <v>0</v>
      </c>
      <c r="L996" s="32">
        <v>0</v>
      </c>
      <c r="M996" s="31">
        <v>624.26</v>
      </c>
      <c r="N996" s="31">
        <v>3224450.82</v>
      </c>
      <c r="O996" s="32">
        <v>0</v>
      </c>
      <c r="P996" s="32">
        <v>0</v>
      </c>
      <c r="Q996" s="32">
        <v>0</v>
      </c>
      <c r="R996" s="32">
        <v>0</v>
      </c>
      <c r="S996" s="32">
        <v>0</v>
      </c>
      <c r="T996" s="32">
        <v>0</v>
      </c>
      <c r="U996" s="32">
        <v>0</v>
      </c>
      <c r="V996" s="32">
        <v>0</v>
      </c>
      <c r="W996" s="32">
        <v>0</v>
      </c>
      <c r="X996" s="32">
        <v>0</v>
      </c>
      <c r="Y996" s="32">
        <v>0</v>
      </c>
      <c r="Z996" s="32">
        <v>0</v>
      </c>
      <c r="AA996" s="31">
        <v>0</v>
      </c>
      <c r="AB996" s="31">
        <v>0</v>
      </c>
      <c r="AC996" s="31">
        <f t="shared" si="426"/>
        <v>48366.76</v>
      </c>
      <c r="AD996" s="31">
        <v>150000</v>
      </c>
      <c r="AE996" s="31">
        <v>0</v>
      </c>
      <c r="AF996" s="34">
        <v>2022</v>
      </c>
      <c r="AG996" s="34">
        <v>2022</v>
      </c>
      <c r="AH996" s="35">
        <v>2022</v>
      </c>
      <c r="AT996" s="20" t="e">
        <f t="shared" si="421"/>
        <v>#N/A</v>
      </c>
    </row>
    <row r="997" spans="1:46" ht="61.5" x14ac:dyDescent="0.85">
      <c r="A997" s="20">
        <v>1</v>
      </c>
      <c r="B997" s="66">
        <f>SUBTOTAL(103,$A$929:A997)</f>
        <v>68</v>
      </c>
      <c r="C997" s="24" t="s">
        <v>494</v>
      </c>
      <c r="D997" s="31">
        <f t="shared" si="424"/>
        <v>3106903.4</v>
      </c>
      <c r="E997" s="32">
        <v>0</v>
      </c>
      <c r="F997" s="32">
        <v>0</v>
      </c>
      <c r="G997" s="32">
        <v>0</v>
      </c>
      <c r="H997" s="32">
        <v>0</v>
      </c>
      <c r="I997" s="32">
        <v>0</v>
      </c>
      <c r="J997" s="32">
        <v>0</v>
      </c>
      <c r="K997" s="86">
        <v>0</v>
      </c>
      <c r="L997" s="32">
        <v>0</v>
      </c>
      <c r="M997" s="31">
        <v>544.85</v>
      </c>
      <c r="N997" s="31">
        <f>2664960.76+248244.56</f>
        <v>2913205.32</v>
      </c>
      <c r="O997" s="32">
        <v>0</v>
      </c>
      <c r="P997" s="32">
        <v>0</v>
      </c>
      <c r="Q997" s="32">
        <v>0</v>
      </c>
      <c r="R997" s="32">
        <v>0</v>
      </c>
      <c r="S997" s="32">
        <v>0</v>
      </c>
      <c r="T997" s="32">
        <v>0</v>
      </c>
      <c r="U997" s="32">
        <v>0</v>
      </c>
      <c r="V997" s="32">
        <v>0</v>
      </c>
      <c r="W997" s="32">
        <v>0</v>
      </c>
      <c r="X997" s="32">
        <v>0</v>
      </c>
      <c r="Y997" s="32">
        <v>0</v>
      </c>
      <c r="Z997" s="32">
        <v>0</v>
      </c>
      <c r="AA997" s="31">
        <v>0</v>
      </c>
      <c r="AB997" s="31">
        <v>0</v>
      </c>
      <c r="AC997" s="31">
        <f t="shared" si="426"/>
        <v>43698.080000000002</v>
      </c>
      <c r="AD997" s="31">
        <v>150000</v>
      </c>
      <c r="AE997" s="31">
        <v>0</v>
      </c>
      <c r="AF997" s="34">
        <v>2022</v>
      </c>
      <c r="AG997" s="34">
        <v>2022</v>
      </c>
      <c r="AH997" s="35">
        <v>2022</v>
      </c>
      <c r="AT997" s="20" t="e">
        <f t="shared" si="421"/>
        <v>#N/A</v>
      </c>
    </row>
    <row r="998" spans="1:46" ht="61.5" x14ac:dyDescent="0.85">
      <c r="A998" s="20">
        <v>1</v>
      </c>
      <c r="B998" s="66">
        <f>SUBTOTAL(103,$A$929:A998)</f>
        <v>69</v>
      </c>
      <c r="C998" s="24" t="s">
        <v>495</v>
      </c>
      <c r="D998" s="31">
        <f t="shared" si="424"/>
        <v>2847699.39</v>
      </c>
      <c r="E998" s="30">
        <v>0</v>
      </c>
      <c r="F998" s="32">
        <v>0</v>
      </c>
      <c r="G998" s="30">
        <v>0</v>
      </c>
      <c r="H998" s="32">
        <v>0</v>
      </c>
      <c r="I998" s="32">
        <v>0</v>
      </c>
      <c r="J998" s="32">
        <v>0</v>
      </c>
      <c r="K998" s="86">
        <v>0</v>
      </c>
      <c r="L998" s="32">
        <v>0</v>
      </c>
      <c r="M998" s="31">
        <v>510</v>
      </c>
      <c r="N998" s="31">
        <f>2425465.71+232366.2</f>
        <v>2657831.91</v>
      </c>
      <c r="O998" s="32">
        <v>0</v>
      </c>
      <c r="P998" s="32">
        <v>0</v>
      </c>
      <c r="Q998" s="32">
        <v>0</v>
      </c>
      <c r="R998" s="32">
        <v>0</v>
      </c>
      <c r="S998" s="32">
        <v>0</v>
      </c>
      <c r="T998" s="32">
        <v>0</v>
      </c>
      <c r="U998" s="32">
        <v>0</v>
      </c>
      <c r="V998" s="32">
        <v>0</v>
      </c>
      <c r="W998" s="32">
        <v>0</v>
      </c>
      <c r="X998" s="32">
        <v>0</v>
      </c>
      <c r="Y998" s="32">
        <v>0</v>
      </c>
      <c r="Z998" s="32">
        <v>0</v>
      </c>
      <c r="AA998" s="31">
        <v>0</v>
      </c>
      <c r="AB998" s="31">
        <v>0</v>
      </c>
      <c r="AC998" s="31">
        <f t="shared" si="426"/>
        <v>39867.480000000003</v>
      </c>
      <c r="AD998" s="31">
        <v>150000</v>
      </c>
      <c r="AE998" s="31">
        <v>0</v>
      </c>
      <c r="AF998" s="34">
        <v>2022</v>
      </c>
      <c r="AG998" s="34">
        <v>2022</v>
      </c>
      <c r="AH998" s="35">
        <v>2022</v>
      </c>
      <c r="AT998" s="20" t="e">
        <f t="shared" si="421"/>
        <v>#N/A</v>
      </c>
    </row>
    <row r="999" spans="1:46" ht="61.5" x14ac:dyDescent="0.85">
      <c r="A999" s="20">
        <v>1</v>
      </c>
      <c r="B999" s="66">
        <f>SUBTOTAL(103,$A$929:A999)</f>
        <v>70</v>
      </c>
      <c r="C999" s="24" t="s">
        <v>496</v>
      </c>
      <c r="D999" s="31">
        <f t="shared" si="424"/>
        <v>3110189.0700000003</v>
      </c>
      <c r="E999" s="32">
        <v>0</v>
      </c>
      <c r="F999" s="32">
        <v>0</v>
      </c>
      <c r="G999" s="32">
        <v>0</v>
      </c>
      <c r="H999" s="32">
        <v>0</v>
      </c>
      <c r="I999" s="32">
        <v>0</v>
      </c>
      <c r="J999" s="32">
        <v>0</v>
      </c>
      <c r="K999" s="86">
        <v>0</v>
      </c>
      <c r="L999" s="32">
        <v>0</v>
      </c>
      <c r="M999" s="31">
        <v>547</v>
      </c>
      <c r="N999" s="31">
        <f>2667213.48+249224.14+4.81</f>
        <v>2916442.43</v>
      </c>
      <c r="O999" s="32">
        <v>0</v>
      </c>
      <c r="P999" s="32">
        <v>0</v>
      </c>
      <c r="Q999" s="32">
        <v>0</v>
      </c>
      <c r="R999" s="32">
        <v>0</v>
      </c>
      <c r="S999" s="32">
        <v>0</v>
      </c>
      <c r="T999" s="31">
        <v>0</v>
      </c>
      <c r="U999" s="32">
        <v>0</v>
      </c>
      <c r="V999" s="32">
        <v>0</v>
      </c>
      <c r="W999" s="32">
        <v>0</v>
      </c>
      <c r="X999" s="32">
        <v>0</v>
      </c>
      <c r="Y999" s="32">
        <v>0</v>
      </c>
      <c r="Z999" s="32">
        <v>0</v>
      </c>
      <c r="AA999" s="31">
        <v>0</v>
      </c>
      <c r="AB999" s="31">
        <v>0</v>
      </c>
      <c r="AC999" s="31">
        <f t="shared" si="426"/>
        <v>43746.64</v>
      </c>
      <c r="AD999" s="31">
        <v>150000</v>
      </c>
      <c r="AE999" s="31">
        <v>0</v>
      </c>
      <c r="AF999" s="34">
        <v>2022</v>
      </c>
      <c r="AG999" s="34">
        <v>2022</v>
      </c>
      <c r="AH999" s="35">
        <v>2022</v>
      </c>
      <c r="AT999" s="20" t="e">
        <f t="shared" si="421"/>
        <v>#N/A</v>
      </c>
    </row>
    <row r="1000" spans="1:46" ht="61.5" x14ac:dyDescent="0.85">
      <c r="A1000" s="20">
        <v>1</v>
      </c>
      <c r="B1000" s="66">
        <f>SUBTOTAL(103,$A$929:A1000)</f>
        <v>71</v>
      </c>
      <c r="C1000" s="24" t="s">
        <v>497</v>
      </c>
      <c r="D1000" s="31">
        <f t="shared" si="424"/>
        <v>2521758.64</v>
      </c>
      <c r="E1000" s="32">
        <v>0</v>
      </c>
      <c r="F1000" s="32">
        <v>0</v>
      </c>
      <c r="G1000" s="32">
        <v>0</v>
      </c>
      <c r="H1000" s="32">
        <v>0</v>
      </c>
      <c r="I1000" s="32">
        <v>0</v>
      </c>
      <c r="J1000" s="32">
        <v>0</v>
      </c>
      <c r="K1000" s="86">
        <v>0</v>
      </c>
      <c r="L1000" s="32">
        <v>0</v>
      </c>
      <c r="M1000" s="31">
        <v>398.44</v>
      </c>
      <c r="N1000" s="31">
        <v>2366264.67</v>
      </c>
      <c r="O1000" s="32">
        <v>0</v>
      </c>
      <c r="P1000" s="32">
        <v>0</v>
      </c>
      <c r="Q1000" s="32">
        <v>0</v>
      </c>
      <c r="R1000" s="32">
        <v>0</v>
      </c>
      <c r="S1000" s="32">
        <v>0</v>
      </c>
      <c r="T1000" s="32">
        <v>0</v>
      </c>
      <c r="U1000" s="32">
        <v>0</v>
      </c>
      <c r="V1000" s="32">
        <v>0</v>
      </c>
      <c r="W1000" s="32">
        <v>0</v>
      </c>
      <c r="X1000" s="32">
        <v>0</v>
      </c>
      <c r="Y1000" s="32">
        <v>0</v>
      </c>
      <c r="Z1000" s="32">
        <v>0</v>
      </c>
      <c r="AA1000" s="31">
        <v>0</v>
      </c>
      <c r="AB1000" s="31">
        <v>0</v>
      </c>
      <c r="AC1000" s="31">
        <f>ROUND(N1000*1.5%,2)</f>
        <v>35493.97</v>
      </c>
      <c r="AD1000" s="31">
        <v>120000</v>
      </c>
      <c r="AE1000" s="31">
        <v>0</v>
      </c>
      <c r="AF1000" s="34">
        <v>2022</v>
      </c>
      <c r="AG1000" s="34">
        <v>2022</v>
      </c>
      <c r="AH1000" s="35">
        <v>2022</v>
      </c>
      <c r="AT1000" s="20" t="e">
        <f t="shared" si="421"/>
        <v>#N/A</v>
      </c>
    </row>
    <row r="1001" spans="1:46" ht="61.5" x14ac:dyDescent="0.85">
      <c r="A1001" s="20">
        <v>1</v>
      </c>
      <c r="B1001" s="66">
        <f>SUBTOTAL(103,$A$929:A1001)</f>
        <v>72</v>
      </c>
      <c r="C1001" s="24" t="s">
        <v>1693</v>
      </c>
      <c r="D1001" s="31">
        <f t="shared" si="424"/>
        <v>2382311.33</v>
      </c>
      <c r="E1001" s="32">
        <v>0</v>
      </c>
      <c r="F1001" s="32">
        <v>0</v>
      </c>
      <c r="G1001" s="32">
        <v>0</v>
      </c>
      <c r="H1001" s="32">
        <v>0</v>
      </c>
      <c r="I1001" s="32">
        <v>0</v>
      </c>
      <c r="J1001" s="32">
        <v>0</v>
      </c>
      <c r="K1001" s="86">
        <v>0</v>
      </c>
      <c r="L1001" s="32">
        <v>0</v>
      </c>
      <c r="M1001" s="31">
        <v>404.2</v>
      </c>
      <c r="N1001" s="31">
        <v>2110651.56</v>
      </c>
      <c r="O1001" s="32">
        <v>0</v>
      </c>
      <c r="P1001" s="32">
        <v>0</v>
      </c>
      <c r="Q1001" s="32">
        <v>0</v>
      </c>
      <c r="R1001" s="32">
        <v>0</v>
      </c>
      <c r="S1001" s="32">
        <v>0</v>
      </c>
      <c r="T1001" s="32">
        <v>0</v>
      </c>
      <c r="U1001" s="32">
        <v>0</v>
      </c>
      <c r="V1001" s="32">
        <v>0</v>
      </c>
      <c r="W1001" s="32">
        <v>0</v>
      </c>
      <c r="X1001" s="32">
        <v>0</v>
      </c>
      <c r="Y1001" s="32">
        <v>0</v>
      </c>
      <c r="Z1001" s="32">
        <v>0</v>
      </c>
      <c r="AA1001" s="31">
        <v>0</v>
      </c>
      <c r="AB1001" s="31">
        <v>0</v>
      </c>
      <c r="AC1001" s="31">
        <f>ROUND(N1001*1.5%,2)</f>
        <v>31659.77</v>
      </c>
      <c r="AD1001" s="31">
        <v>120000</v>
      </c>
      <c r="AE1001" s="31">
        <v>120000</v>
      </c>
      <c r="AF1001" s="34">
        <v>2022</v>
      </c>
      <c r="AG1001" s="34">
        <v>2022</v>
      </c>
      <c r="AH1001" s="35">
        <v>2022</v>
      </c>
    </row>
    <row r="1002" spans="1:46" ht="61.5" x14ac:dyDescent="0.85">
      <c r="B1002" s="24" t="s">
        <v>800</v>
      </c>
      <c r="C1002" s="117"/>
      <c r="D1002" s="31">
        <f>SUM(D1003:D1029)</f>
        <v>91626897.959999993</v>
      </c>
      <c r="E1002" s="31">
        <f t="shared" ref="E1002:AE1002" si="427">SUM(E1003:E1029)</f>
        <v>0</v>
      </c>
      <c r="F1002" s="31">
        <f t="shared" si="427"/>
        <v>0</v>
      </c>
      <c r="G1002" s="31">
        <f t="shared" si="427"/>
        <v>0</v>
      </c>
      <c r="H1002" s="31">
        <f t="shared" si="427"/>
        <v>0</v>
      </c>
      <c r="I1002" s="31">
        <f t="shared" si="427"/>
        <v>1794795.08</v>
      </c>
      <c r="J1002" s="31">
        <f t="shared" si="427"/>
        <v>0</v>
      </c>
      <c r="K1002" s="33">
        <f t="shared" si="427"/>
        <v>7</v>
      </c>
      <c r="L1002" s="31">
        <f t="shared" si="427"/>
        <v>14963263.060000001</v>
      </c>
      <c r="M1002" s="31">
        <f t="shared" si="427"/>
        <v>14798</v>
      </c>
      <c r="N1002" s="31">
        <f t="shared" si="427"/>
        <v>67952677.739999995</v>
      </c>
      <c r="O1002" s="31">
        <f t="shared" si="427"/>
        <v>0</v>
      </c>
      <c r="P1002" s="31">
        <f t="shared" si="427"/>
        <v>0</v>
      </c>
      <c r="Q1002" s="31">
        <f t="shared" si="427"/>
        <v>1050</v>
      </c>
      <c r="R1002" s="31">
        <f t="shared" si="427"/>
        <v>5664975.3700000001</v>
      </c>
      <c r="S1002" s="31">
        <f t="shared" si="427"/>
        <v>0</v>
      </c>
      <c r="T1002" s="31">
        <f t="shared" si="427"/>
        <v>0</v>
      </c>
      <c r="U1002" s="31">
        <f t="shared" si="427"/>
        <v>0</v>
      </c>
      <c r="V1002" s="31">
        <f t="shared" si="427"/>
        <v>0</v>
      </c>
      <c r="W1002" s="31">
        <f t="shared" si="427"/>
        <v>0</v>
      </c>
      <c r="X1002" s="31">
        <f t="shared" si="427"/>
        <v>0</v>
      </c>
      <c r="Y1002" s="31">
        <f t="shared" si="427"/>
        <v>0</v>
      </c>
      <c r="Z1002" s="31">
        <f t="shared" si="427"/>
        <v>0</v>
      </c>
      <c r="AA1002" s="31">
        <f t="shared" si="427"/>
        <v>0</v>
      </c>
      <c r="AB1002" s="31">
        <f t="shared" si="427"/>
        <v>0</v>
      </c>
      <c r="AC1002" s="31">
        <f t="shared" si="427"/>
        <v>1131186.71</v>
      </c>
      <c r="AD1002" s="31">
        <f t="shared" si="427"/>
        <v>0</v>
      </c>
      <c r="AE1002" s="31">
        <f t="shared" si="427"/>
        <v>120000</v>
      </c>
      <c r="AF1002" s="72" t="s">
        <v>794</v>
      </c>
      <c r="AG1002" s="72" t="s">
        <v>794</v>
      </c>
      <c r="AH1002" s="91" t="s">
        <v>794</v>
      </c>
      <c r="AT1002" s="20" t="e">
        <f t="shared" ref="AT1002:AT1040" si="428">VLOOKUP(C1002,AW:AX,2,FALSE)</f>
        <v>#N/A</v>
      </c>
    </row>
    <row r="1003" spans="1:46" ht="61.5" x14ac:dyDescent="0.85">
      <c r="A1003" s="20">
        <v>1</v>
      </c>
      <c r="B1003" s="66">
        <f>SUBTOTAL(103,$A$929:A1003)</f>
        <v>73</v>
      </c>
      <c r="C1003" s="24" t="s">
        <v>440</v>
      </c>
      <c r="D1003" s="31">
        <f t="shared" ref="D1003:D1029" si="429">E1003+F1003+G1003+H1003+I1003+J1003+L1003+N1003+P1003+R1003+T1003+U1003+V1003+W1003+X1003+Y1003+Z1003+AA1003+AB1003+AC1003+AD1003+AE1003</f>
        <v>4337224.8899999997</v>
      </c>
      <c r="E1003" s="31">
        <v>0</v>
      </c>
      <c r="F1003" s="31">
        <v>0</v>
      </c>
      <c r="G1003" s="31">
        <v>0</v>
      </c>
      <c r="H1003" s="31">
        <v>0</v>
      </c>
      <c r="I1003" s="31">
        <v>0</v>
      </c>
      <c r="J1003" s="31">
        <v>0</v>
      </c>
      <c r="K1003" s="33">
        <v>0</v>
      </c>
      <c r="L1003" s="31">
        <v>0</v>
      </c>
      <c r="M1003" s="31">
        <v>930</v>
      </c>
      <c r="N1003" s="31">
        <v>4273127.97</v>
      </c>
      <c r="O1003" s="31">
        <v>0</v>
      </c>
      <c r="P1003" s="31">
        <v>0</v>
      </c>
      <c r="Q1003" s="31">
        <v>0</v>
      </c>
      <c r="R1003" s="31">
        <v>0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v>0</v>
      </c>
      <c r="Y1003" s="31">
        <v>0</v>
      </c>
      <c r="Z1003" s="31">
        <v>0</v>
      </c>
      <c r="AA1003" s="31">
        <v>0</v>
      </c>
      <c r="AB1003" s="31">
        <v>0</v>
      </c>
      <c r="AC1003" s="31">
        <f t="shared" ref="AC1003:AC1005" si="430">ROUND(N1003*1.5%,2)</f>
        <v>64096.92</v>
      </c>
      <c r="AD1003" s="31">
        <v>0</v>
      </c>
      <c r="AE1003" s="31">
        <v>0</v>
      </c>
      <c r="AF1003" s="34" t="s">
        <v>274</v>
      </c>
      <c r="AG1003" s="34">
        <v>2022</v>
      </c>
      <c r="AH1003" s="35">
        <v>2022</v>
      </c>
      <c r="AT1003" s="20" t="e">
        <f t="shared" si="428"/>
        <v>#N/A</v>
      </c>
    </row>
    <row r="1004" spans="1:46" ht="61.5" x14ac:dyDescent="0.85">
      <c r="A1004" s="20">
        <v>1</v>
      </c>
      <c r="B1004" s="66">
        <f>SUBTOTAL(103,$A$929:A1004)</f>
        <v>74</v>
      </c>
      <c r="C1004" s="24" t="s">
        <v>441</v>
      </c>
      <c r="D1004" s="31">
        <f t="shared" si="429"/>
        <v>2714283.9</v>
      </c>
      <c r="E1004" s="31">
        <v>0</v>
      </c>
      <c r="F1004" s="31">
        <v>0</v>
      </c>
      <c r="G1004" s="31">
        <v>0</v>
      </c>
      <c r="H1004" s="31">
        <v>0</v>
      </c>
      <c r="I1004" s="31">
        <v>0</v>
      </c>
      <c r="J1004" s="31">
        <v>0</v>
      </c>
      <c r="K1004" s="33">
        <v>0</v>
      </c>
      <c r="L1004" s="31">
        <v>0</v>
      </c>
      <c r="M1004" s="31">
        <v>594</v>
      </c>
      <c r="N1004" s="31">
        <v>2674171.33</v>
      </c>
      <c r="O1004" s="31">
        <v>0</v>
      </c>
      <c r="P1004" s="31">
        <v>0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v>0</v>
      </c>
      <c r="Y1004" s="31">
        <v>0</v>
      </c>
      <c r="Z1004" s="31">
        <v>0</v>
      </c>
      <c r="AA1004" s="31">
        <v>0</v>
      </c>
      <c r="AB1004" s="31">
        <v>0</v>
      </c>
      <c r="AC1004" s="31">
        <f t="shared" si="430"/>
        <v>40112.57</v>
      </c>
      <c r="AD1004" s="31">
        <v>0</v>
      </c>
      <c r="AE1004" s="31">
        <v>0</v>
      </c>
      <c r="AF1004" s="34" t="s">
        <v>274</v>
      </c>
      <c r="AG1004" s="34">
        <v>2022</v>
      </c>
      <c r="AH1004" s="35">
        <v>2022</v>
      </c>
      <c r="AT1004" s="20" t="e">
        <f t="shared" si="428"/>
        <v>#N/A</v>
      </c>
    </row>
    <row r="1005" spans="1:46" ht="61.5" x14ac:dyDescent="0.85">
      <c r="A1005" s="20">
        <v>1</v>
      </c>
      <c r="B1005" s="66">
        <f>SUBTOTAL(103,$A$929:A1005)</f>
        <v>75</v>
      </c>
      <c r="C1005" s="24" t="s">
        <v>442</v>
      </c>
      <c r="D1005" s="31">
        <f t="shared" si="429"/>
        <v>5214319.6899999995</v>
      </c>
      <c r="E1005" s="31">
        <v>0</v>
      </c>
      <c r="F1005" s="31">
        <v>0</v>
      </c>
      <c r="G1005" s="31">
        <v>0</v>
      </c>
      <c r="H1005" s="31">
        <v>0</v>
      </c>
      <c r="I1005" s="31">
        <v>0</v>
      </c>
      <c r="J1005" s="31">
        <v>0</v>
      </c>
      <c r="K1005" s="33">
        <v>0</v>
      </c>
      <c r="L1005" s="31">
        <v>0</v>
      </c>
      <c r="M1005" s="31">
        <v>1118</v>
      </c>
      <c r="N1005" s="31">
        <v>5137260.7799999993</v>
      </c>
      <c r="O1005" s="31">
        <v>0</v>
      </c>
      <c r="P1005" s="31">
        <v>0</v>
      </c>
      <c r="Q1005" s="31">
        <v>0</v>
      </c>
      <c r="R1005" s="31">
        <v>0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v>0</v>
      </c>
      <c r="Y1005" s="31">
        <v>0</v>
      </c>
      <c r="Z1005" s="31">
        <v>0</v>
      </c>
      <c r="AA1005" s="31">
        <v>0</v>
      </c>
      <c r="AB1005" s="31">
        <v>0</v>
      </c>
      <c r="AC1005" s="31">
        <f t="shared" si="430"/>
        <v>77058.91</v>
      </c>
      <c r="AD1005" s="31">
        <v>0</v>
      </c>
      <c r="AE1005" s="31">
        <v>0</v>
      </c>
      <c r="AF1005" s="34" t="s">
        <v>274</v>
      </c>
      <c r="AG1005" s="34">
        <v>2022</v>
      </c>
      <c r="AH1005" s="35">
        <v>2022</v>
      </c>
      <c r="AT1005" s="20" t="e">
        <f t="shared" si="428"/>
        <v>#N/A</v>
      </c>
    </row>
    <row r="1006" spans="1:46" ht="61.5" x14ac:dyDescent="0.85">
      <c r="A1006" s="20">
        <v>1</v>
      </c>
      <c r="B1006" s="66">
        <f>SUBTOTAL(103,$A$929:A1006)</f>
        <v>76</v>
      </c>
      <c r="C1006" s="24" t="s">
        <v>443</v>
      </c>
      <c r="D1006" s="31">
        <f t="shared" si="429"/>
        <v>5749950</v>
      </c>
      <c r="E1006" s="31">
        <v>0</v>
      </c>
      <c r="F1006" s="31">
        <v>0</v>
      </c>
      <c r="G1006" s="31">
        <v>0</v>
      </c>
      <c r="H1006" s="31">
        <v>0</v>
      </c>
      <c r="I1006" s="31">
        <v>0</v>
      </c>
      <c r="J1006" s="31">
        <v>0</v>
      </c>
      <c r="K1006" s="33">
        <v>0</v>
      </c>
      <c r="L1006" s="31">
        <v>0</v>
      </c>
      <c r="M1006" s="31">
        <v>0</v>
      </c>
      <c r="N1006" s="31">
        <v>0</v>
      </c>
      <c r="O1006" s="31">
        <v>0</v>
      </c>
      <c r="P1006" s="31">
        <v>0</v>
      </c>
      <c r="Q1006" s="31">
        <v>1050</v>
      </c>
      <c r="R1006" s="31">
        <v>5664975.3700000001</v>
      </c>
      <c r="S1006" s="31">
        <v>0</v>
      </c>
      <c r="T1006" s="31">
        <v>0</v>
      </c>
      <c r="U1006" s="31">
        <v>0</v>
      </c>
      <c r="V1006" s="31">
        <v>0</v>
      </c>
      <c r="W1006" s="31">
        <v>0</v>
      </c>
      <c r="X1006" s="31">
        <v>0</v>
      </c>
      <c r="Y1006" s="31">
        <v>0</v>
      </c>
      <c r="Z1006" s="31">
        <v>0</v>
      </c>
      <c r="AA1006" s="31">
        <v>0</v>
      </c>
      <c r="AB1006" s="31">
        <v>0</v>
      </c>
      <c r="AC1006" s="31">
        <f t="shared" ref="AC1006" si="431">ROUND(R1006*1.5%,2)</f>
        <v>84974.63</v>
      </c>
      <c r="AD1006" s="31">
        <v>0</v>
      </c>
      <c r="AE1006" s="31">
        <v>0</v>
      </c>
      <c r="AF1006" s="34" t="s">
        <v>274</v>
      </c>
      <c r="AG1006" s="34">
        <v>2022</v>
      </c>
      <c r="AH1006" s="35">
        <v>2022</v>
      </c>
      <c r="AT1006" s="20" t="e">
        <f t="shared" si="428"/>
        <v>#N/A</v>
      </c>
    </row>
    <row r="1007" spans="1:46" ht="61.5" x14ac:dyDescent="0.85">
      <c r="A1007" s="20">
        <v>1</v>
      </c>
      <c r="B1007" s="66">
        <f>SUBTOTAL(103,$A$929:A1007)</f>
        <v>77</v>
      </c>
      <c r="C1007" s="24" t="s">
        <v>444</v>
      </c>
      <c r="D1007" s="31">
        <f t="shared" si="429"/>
        <v>3391530.1000000006</v>
      </c>
      <c r="E1007" s="31">
        <v>0</v>
      </c>
      <c r="F1007" s="31">
        <v>0</v>
      </c>
      <c r="G1007" s="31">
        <v>0</v>
      </c>
      <c r="H1007" s="31">
        <v>0</v>
      </c>
      <c r="I1007" s="31">
        <v>0</v>
      </c>
      <c r="J1007" s="31">
        <v>0</v>
      </c>
      <c r="K1007" s="33">
        <v>0</v>
      </c>
      <c r="L1007" s="31">
        <v>0</v>
      </c>
      <c r="M1007" s="31">
        <v>734</v>
      </c>
      <c r="N1007" s="31">
        <f>3341408.97-118226.61</f>
        <v>3223182.3600000003</v>
      </c>
      <c r="O1007" s="31">
        <v>0</v>
      </c>
      <c r="P1007" s="31">
        <v>0</v>
      </c>
      <c r="Q1007" s="31">
        <v>0</v>
      </c>
      <c r="R1007" s="31">
        <v>0</v>
      </c>
      <c r="S1007" s="31">
        <v>0</v>
      </c>
      <c r="T1007" s="31">
        <v>0</v>
      </c>
      <c r="U1007" s="31">
        <v>0</v>
      </c>
      <c r="V1007" s="31">
        <v>0</v>
      </c>
      <c r="W1007" s="31">
        <v>0</v>
      </c>
      <c r="X1007" s="31">
        <v>0</v>
      </c>
      <c r="Y1007" s="31">
        <v>0</v>
      </c>
      <c r="Z1007" s="31">
        <v>0</v>
      </c>
      <c r="AA1007" s="31">
        <v>0</v>
      </c>
      <c r="AB1007" s="31">
        <v>0</v>
      </c>
      <c r="AC1007" s="31">
        <f t="shared" ref="AC1007:AC1011" si="432">ROUND(N1007*1.5%,2)</f>
        <v>48347.74</v>
      </c>
      <c r="AD1007" s="31">
        <v>0</v>
      </c>
      <c r="AE1007" s="31">
        <v>120000</v>
      </c>
      <c r="AF1007" s="34" t="s">
        <v>274</v>
      </c>
      <c r="AG1007" s="34">
        <v>2022</v>
      </c>
      <c r="AH1007" s="35">
        <v>2022</v>
      </c>
      <c r="AT1007" s="20" t="e">
        <f t="shared" si="428"/>
        <v>#N/A</v>
      </c>
    </row>
    <row r="1008" spans="1:46" ht="61.5" x14ac:dyDescent="0.85">
      <c r="A1008" s="20">
        <v>1</v>
      </c>
      <c r="B1008" s="66">
        <f>SUBTOTAL(103,$A$929:A1008)</f>
        <v>78</v>
      </c>
      <c r="C1008" s="24" t="s">
        <v>445</v>
      </c>
      <c r="D1008" s="31">
        <f t="shared" si="429"/>
        <v>8090003.5300000003</v>
      </c>
      <c r="E1008" s="31">
        <v>0</v>
      </c>
      <c r="F1008" s="31">
        <v>0</v>
      </c>
      <c r="G1008" s="31">
        <v>0</v>
      </c>
      <c r="H1008" s="31">
        <v>0</v>
      </c>
      <c r="I1008" s="31">
        <v>0</v>
      </c>
      <c r="J1008" s="31">
        <v>0</v>
      </c>
      <c r="K1008" s="33">
        <v>0</v>
      </c>
      <c r="L1008" s="31">
        <v>0</v>
      </c>
      <c r="M1008" s="31">
        <v>1714</v>
      </c>
      <c r="N1008" s="31">
        <v>7970446.8300000001</v>
      </c>
      <c r="O1008" s="31">
        <v>0</v>
      </c>
      <c r="P1008" s="31">
        <v>0</v>
      </c>
      <c r="Q1008" s="31">
        <v>0</v>
      </c>
      <c r="R1008" s="31">
        <v>0</v>
      </c>
      <c r="S1008" s="31">
        <v>0</v>
      </c>
      <c r="T1008" s="31">
        <v>0</v>
      </c>
      <c r="U1008" s="31">
        <v>0</v>
      </c>
      <c r="V1008" s="31">
        <v>0</v>
      </c>
      <c r="W1008" s="31">
        <v>0</v>
      </c>
      <c r="X1008" s="31">
        <v>0</v>
      </c>
      <c r="Y1008" s="31">
        <v>0</v>
      </c>
      <c r="Z1008" s="31">
        <v>0</v>
      </c>
      <c r="AA1008" s="31">
        <v>0</v>
      </c>
      <c r="AB1008" s="31">
        <v>0</v>
      </c>
      <c r="AC1008" s="31">
        <f t="shared" si="432"/>
        <v>119556.7</v>
      </c>
      <c r="AD1008" s="31">
        <v>0</v>
      </c>
      <c r="AE1008" s="31">
        <v>0</v>
      </c>
      <c r="AF1008" s="34" t="s">
        <v>274</v>
      </c>
      <c r="AG1008" s="34">
        <v>2022</v>
      </c>
      <c r="AH1008" s="35">
        <v>2022</v>
      </c>
      <c r="AT1008" s="20" t="e">
        <f t="shared" si="428"/>
        <v>#N/A</v>
      </c>
    </row>
    <row r="1009" spans="1:46" ht="61.5" x14ac:dyDescent="0.85">
      <c r="A1009" s="20">
        <v>1</v>
      </c>
      <c r="B1009" s="66">
        <f>SUBTOTAL(103,$A$929:A1009)</f>
        <v>79</v>
      </c>
      <c r="C1009" s="24" t="s">
        <v>446</v>
      </c>
      <c r="D1009" s="31">
        <f t="shared" si="429"/>
        <v>2744983.73</v>
      </c>
      <c r="E1009" s="31">
        <v>0</v>
      </c>
      <c r="F1009" s="31">
        <v>0</v>
      </c>
      <c r="G1009" s="31">
        <v>0</v>
      </c>
      <c r="H1009" s="31">
        <v>0</v>
      </c>
      <c r="I1009" s="31">
        <v>0</v>
      </c>
      <c r="J1009" s="31">
        <v>0</v>
      </c>
      <c r="K1009" s="33">
        <v>0</v>
      </c>
      <c r="L1009" s="31">
        <v>0</v>
      </c>
      <c r="M1009" s="31">
        <v>600</v>
      </c>
      <c r="N1009" s="31">
        <v>2704417.47</v>
      </c>
      <c r="O1009" s="31">
        <v>0</v>
      </c>
      <c r="P1009" s="31">
        <v>0</v>
      </c>
      <c r="Q1009" s="31">
        <v>0</v>
      </c>
      <c r="R1009" s="31">
        <v>0</v>
      </c>
      <c r="S1009" s="31">
        <v>0</v>
      </c>
      <c r="T1009" s="31">
        <v>0</v>
      </c>
      <c r="U1009" s="31">
        <v>0</v>
      </c>
      <c r="V1009" s="31">
        <v>0</v>
      </c>
      <c r="W1009" s="31">
        <v>0</v>
      </c>
      <c r="X1009" s="31">
        <v>0</v>
      </c>
      <c r="Y1009" s="31">
        <v>0</v>
      </c>
      <c r="Z1009" s="31">
        <v>0</v>
      </c>
      <c r="AA1009" s="31">
        <v>0</v>
      </c>
      <c r="AB1009" s="31">
        <v>0</v>
      </c>
      <c r="AC1009" s="31">
        <f t="shared" si="432"/>
        <v>40566.26</v>
      </c>
      <c r="AD1009" s="31">
        <v>0</v>
      </c>
      <c r="AE1009" s="31">
        <v>0</v>
      </c>
      <c r="AF1009" s="34" t="s">
        <v>274</v>
      </c>
      <c r="AG1009" s="34">
        <v>2022</v>
      </c>
      <c r="AH1009" s="35">
        <v>2022</v>
      </c>
      <c r="AT1009" s="20" t="e">
        <f t="shared" si="428"/>
        <v>#N/A</v>
      </c>
    </row>
    <row r="1010" spans="1:46" ht="61.5" x14ac:dyDescent="0.85">
      <c r="A1010" s="20">
        <v>1</v>
      </c>
      <c r="B1010" s="66">
        <f>SUBTOTAL(103,$A$929:A1010)</f>
        <v>80</v>
      </c>
      <c r="C1010" s="24" t="s">
        <v>447</v>
      </c>
      <c r="D1010" s="31">
        <f t="shared" si="429"/>
        <v>1568740.5100000002</v>
      </c>
      <c r="E1010" s="31">
        <v>0</v>
      </c>
      <c r="F1010" s="31">
        <v>0</v>
      </c>
      <c r="G1010" s="31">
        <v>0</v>
      </c>
      <c r="H1010" s="31">
        <v>0</v>
      </c>
      <c r="I1010" s="31">
        <v>0</v>
      </c>
      <c r="J1010" s="31">
        <v>0</v>
      </c>
      <c r="K1010" s="33">
        <v>0</v>
      </c>
      <c r="L1010" s="31">
        <v>0</v>
      </c>
      <c r="M1010" s="31">
        <v>350</v>
      </c>
      <c r="N1010" s="31">
        <v>1545557.1500000001</v>
      </c>
      <c r="O1010" s="31">
        <v>0</v>
      </c>
      <c r="P1010" s="31">
        <v>0</v>
      </c>
      <c r="Q1010" s="31">
        <v>0</v>
      </c>
      <c r="R1010" s="31">
        <v>0</v>
      </c>
      <c r="S1010" s="31">
        <v>0</v>
      </c>
      <c r="T1010" s="31">
        <v>0</v>
      </c>
      <c r="U1010" s="31">
        <v>0</v>
      </c>
      <c r="V1010" s="31">
        <v>0</v>
      </c>
      <c r="W1010" s="31">
        <v>0</v>
      </c>
      <c r="X1010" s="31">
        <v>0</v>
      </c>
      <c r="Y1010" s="31">
        <v>0</v>
      </c>
      <c r="Z1010" s="31">
        <v>0</v>
      </c>
      <c r="AA1010" s="31">
        <v>0</v>
      </c>
      <c r="AB1010" s="31">
        <v>0</v>
      </c>
      <c r="AC1010" s="31">
        <f t="shared" si="432"/>
        <v>23183.360000000001</v>
      </c>
      <c r="AD1010" s="31">
        <v>0</v>
      </c>
      <c r="AE1010" s="31">
        <v>0</v>
      </c>
      <c r="AF1010" s="34" t="s">
        <v>274</v>
      </c>
      <c r="AG1010" s="34">
        <v>2022</v>
      </c>
      <c r="AH1010" s="35">
        <v>2022</v>
      </c>
      <c r="AT1010" s="20" t="e">
        <f t="shared" si="428"/>
        <v>#N/A</v>
      </c>
    </row>
    <row r="1011" spans="1:46" ht="61.5" x14ac:dyDescent="0.85">
      <c r="A1011" s="20">
        <v>1</v>
      </c>
      <c r="B1011" s="66">
        <f>SUBTOTAL(103,$A$929:A1011)</f>
        <v>81</v>
      </c>
      <c r="C1011" s="24" t="s">
        <v>209</v>
      </c>
      <c r="D1011" s="31">
        <f t="shared" si="429"/>
        <v>4671497.92</v>
      </c>
      <c r="E1011" s="31">
        <v>0</v>
      </c>
      <c r="F1011" s="31">
        <v>0</v>
      </c>
      <c r="G1011" s="31">
        <v>0</v>
      </c>
      <c r="H1011" s="31">
        <v>0</v>
      </c>
      <c r="I1011" s="31">
        <v>0</v>
      </c>
      <c r="J1011" s="31">
        <v>0</v>
      </c>
      <c r="K1011" s="33">
        <v>0</v>
      </c>
      <c r="L1011" s="31">
        <v>0</v>
      </c>
      <c r="M1011" s="31">
        <v>999</v>
      </c>
      <c r="N1011" s="31">
        <v>4602461</v>
      </c>
      <c r="O1011" s="31">
        <v>0</v>
      </c>
      <c r="P1011" s="31">
        <v>0</v>
      </c>
      <c r="Q1011" s="31">
        <v>0</v>
      </c>
      <c r="R1011" s="31">
        <v>0</v>
      </c>
      <c r="S1011" s="31">
        <v>0</v>
      </c>
      <c r="T1011" s="31">
        <v>0</v>
      </c>
      <c r="U1011" s="31">
        <v>0</v>
      </c>
      <c r="V1011" s="31">
        <v>0</v>
      </c>
      <c r="W1011" s="31">
        <v>0</v>
      </c>
      <c r="X1011" s="31">
        <v>0</v>
      </c>
      <c r="Y1011" s="31">
        <v>0</v>
      </c>
      <c r="Z1011" s="31">
        <v>0</v>
      </c>
      <c r="AA1011" s="31">
        <v>0</v>
      </c>
      <c r="AB1011" s="31">
        <v>0</v>
      </c>
      <c r="AC1011" s="31">
        <f t="shared" si="432"/>
        <v>69036.92</v>
      </c>
      <c r="AD1011" s="31">
        <v>0</v>
      </c>
      <c r="AE1011" s="31">
        <v>0</v>
      </c>
      <c r="AF1011" s="34" t="s">
        <v>274</v>
      </c>
      <c r="AG1011" s="34">
        <v>2022</v>
      </c>
      <c r="AH1011" s="35">
        <v>2022</v>
      </c>
      <c r="AT1011" s="20" t="e">
        <f t="shared" si="428"/>
        <v>#N/A</v>
      </c>
    </row>
    <row r="1012" spans="1:46" ht="61.5" x14ac:dyDescent="0.85">
      <c r="A1012" s="20">
        <v>1</v>
      </c>
      <c r="B1012" s="66">
        <f>SUBTOTAL(103,$A$929:A1012)</f>
        <v>82</v>
      </c>
      <c r="C1012" s="24" t="s">
        <v>210</v>
      </c>
      <c r="D1012" s="31">
        <f t="shared" si="429"/>
        <v>457907</v>
      </c>
      <c r="E1012" s="31">
        <v>0</v>
      </c>
      <c r="F1012" s="31">
        <v>0</v>
      </c>
      <c r="G1012" s="31">
        <v>0</v>
      </c>
      <c r="H1012" s="31">
        <v>0</v>
      </c>
      <c r="I1012" s="31">
        <v>451139.9</v>
      </c>
      <c r="J1012" s="31">
        <v>0</v>
      </c>
      <c r="K1012" s="33">
        <v>0</v>
      </c>
      <c r="L1012" s="31">
        <v>0</v>
      </c>
      <c r="M1012" s="31">
        <v>0</v>
      </c>
      <c r="N1012" s="31">
        <v>0</v>
      </c>
      <c r="O1012" s="31">
        <v>0</v>
      </c>
      <c r="P1012" s="31">
        <v>0</v>
      </c>
      <c r="Q1012" s="31">
        <v>0</v>
      </c>
      <c r="R1012" s="31">
        <v>0</v>
      </c>
      <c r="S1012" s="31">
        <v>0</v>
      </c>
      <c r="T1012" s="31">
        <v>0</v>
      </c>
      <c r="U1012" s="31">
        <v>0</v>
      </c>
      <c r="V1012" s="31">
        <v>0</v>
      </c>
      <c r="W1012" s="31">
        <v>0</v>
      </c>
      <c r="X1012" s="31">
        <v>0</v>
      </c>
      <c r="Y1012" s="31">
        <v>0</v>
      </c>
      <c r="Z1012" s="31">
        <v>0</v>
      </c>
      <c r="AA1012" s="31">
        <v>0</v>
      </c>
      <c r="AB1012" s="31">
        <v>0</v>
      </c>
      <c r="AC1012" s="31">
        <f t="shared" ref="AC1012:AC1014" si="433">ROUND((E1012+F1012+G1012+H1012+I1012+J1012)*1.5%,2)</f>
        <v>6767.1</v>
      </c>
      <c r="AD1012" s="31">
        <v>0</v>
      </c>
      <c r="AE1012" s="31">
        <v>0</v>
      </c>
      <c r="AF1012" s="34" t="s">
        <v>274</v>
      </c>
      <c r="AG1012" s="34">
        <v>2022</v>
      </c>
      <c r="AH1012" s="35">
        <v>2022</v>
      </c>
      <c r="AT1012" s="20" t="e">
        <f t="shared" si="428"/>
        <v>#N/A</v>
      </c>
    </row>
    <row r="1013" spans="1:46" ht="61.5" x14ac:dyDescent="0.85">
      <c r="A1013" s="20">
        <v>1</v>
      </c>
      <c r="B1013" s="66">
        <f>SUBTOTAL(103,$A$929:A1013)</f>
        <v>83</v>
      </c>
      <c r="C1013" s="24" t="s">
        <v>211</v>
      </c>
      <c r="D1013" s="31">
        <f t="shared" si="429"/>
        <v>632281</v>
      </c>
      <c r="E1013" s="31">
        <v>0</v>
      </c>
      <c r="F1013" s="31">
        <v>0</v>
      </c>
      <c r="G1013" s="31">
        <v>0</v>
      </c>
      <c r="H1013" s="31">
        <v>0</v>
      </c>
      <c r="I1013" s="31">
        <v>622936.94999999995</v>
      </c>
      <c r="J1013" s="31">
        <v>0</v>
      </c>
      <c r="K1013" s="33">
        <v>0</v>
      </c>
      <c r="L1013" s="31">
        <v>0</v>
      </c>
      <c r="M1013" s="31">
        <v>0</v>
      </c>
      <c r="N1013" s="31">
        <v>0</v>
      </c>
      <c r="O1013" s="31">
        <v>0</v>
      </c>
      <c r="P1013" s="31">
        <v>0</v>
      </c>
      <c r="Q1013" s="31">
        <v>0</v>
      </c>
      <c r="R1013" s="31">
        <v>0</v>
      </c>
      <c r="S1013" s="31">
        <v>0</v>
      </c>
      <c r="T1013" s="31">
        <v>0</v>
      </c>
      <c r="U1013" s="31">
        <v>0</v>
      </c>
      <c r="V1013" s="31">
        <v>0</v>
      </c>
      <c r="W1013" s="31">
        <v>0</v>
      </c>
      <c r="X1013" s="31">
        <v>0</v>
      </c>
      <c r="Y1013" s="31">
        <v>0</v>
      </c>
      <c r="Z1013" s="31">
        <v>0</v>
      </c>
      <c r="AA1013" s="31">
        <v>0</v>
      </c>
      <c r="AB1013" s="31">
        <v>0</v>
      </c>
      <c r="AC1013" s="31">
        <f t="shared" si="433"/>
        <v>9344.0499999999993</v>
      </c>
      <c r="AD1013" s="31">
        <v>0</v>
      </c>
      <c r="AE1013" s="31">
        <v>0</v>
      </c>
      <c r="AF1013" s="34" t="s">
        <v>274</v>
      </c>
      <c r="AG1013" s="34">
        <v>2022</v>
      </c>
      <c r="AH1013" s="35">
        <v>2022</v>
      </c>
      <c r="AT1013" s="20" t="e">
        <f t="shared" si="428"/>
        <v>#N/A</v>
      </c>
    </row>
    <row r="1014" spans="1:46" ht="61.5" x14ac:dyDescent="0.85">
      <c r="A1014" s="20">
        <v>1</v>
      </c>
      <c r="B1014" s="66">
        <f>SUBTOTAL(103,$A$929:A1014)</f>
        <v>84</v>
      </c>
      <c r="C1014" s="24" t="s">
        <v>212</v>
      </c>
      <c r="D1014" s="31">
        <f t="shared" si="429"/>
        <v>731529</v>
      </c>
      <c r="E1014" s="31">
        <v>0</v>
      </c>
      <c r="F1014" s="31">
        <v>0</v>
      </c>
      <c r="G1014" s="31">
        <v>0</v>
      </c>
      <c r="H1014" s="31">
        <v>0</v>
      </c>
      <c r="I1014" s="31">
        <v>720718.23</v>
      </c>
      <c r="J1014" s="31">
        <v>0</v>
      </c>
      <c r="K1014" s="33">
        <v>0</v>
      </c>
      <c r="L1014" s="31">
        <v>0</v>
      </c>
      <c r="M1014" s="31">
        <v>0</v>
      </c>
      <c r="N1014" s="31">
        <v>0</v>
      </c>
      <c r="O1014" s="31">
        <v>0</v>
      </c>
      <c r="P1014" s="31">
        <v>0</v>
      </c>
      <c r="Q1014" s="31">
        <v>0</v>
      </c>
      <c r="R1014" s="31">
        <v>0</v>
      </c>
      <c r="S1014" s="31">
        <v>0</v>
      </c>
      <c r="T1014" s="31">
        <v>0</v>
      </c>
      <c r="U1014" s="31">
        <v>0</v>
      </c>
      <c r="V1014" s="31">
        <v>0</v>
      </c>
      <c r="W1014" s="31">
        <v>0</v>
      </c>
      <c r="X1014" s="31">
        <v>0</v>
      </c>
      <c r="Y1014" s="31">
        <v>0</v>
      </c>
      <c r="Z1014" s="31">
        <v>0</v>
      </c>
      <c r="AA1014" s="31">
        <v>0</v>
      </c>
      <c r="AB1014" s="31">
        <v>0</v>
      </c>
      <c r="AC1014" s="31">
        <f t="shared" si="433"/>
        <v>10810.77</v>
      </c>
      <c r="AD1014" s="31">
        <v>0</v>
      </c>
      <c r="AE1014" s="31">
        <v>0</v>
      </c>
      <c r="AF1014" s="34" t="s">
        <v>274</v>
      </c>
      <c r="AG1014" s="34">
        <v>2022</v>
      </c>
      <c r="AH1014" s="35">
        <v>2022</v>
      </c>
      <c r="AT1014" s="20" t="e">
        <f t="shared" si="428"/>
        <v>#N/A</v>
      </c>
    </row>
    <row r="1015" spans="1:46" ht="61.5" x14ac:dyDescent="0.85">
      <c r="A1015" s="20">
        <v>1</v>
      </c>
      <c r="B1015" s="66">
        <f>SUBTOTAL(103,$A$929:A1015)</f>
        <v>85</v>
      </c>
      <c r="C1015" s="24" t="s">
        <v>448</v>
      </c>
      <c r="D1015" s="31">
        <f t="shared" si="429"/>
        <v>4760772.24</v>
      </c>
      <c r="E1015" s="31">
        <v>0</v>
      </c>
      <c r="F1015" s="31">
        <v>0</v>
      </c>
      <c r="G1015" s="31">
        <v>0</v>
      </c>
      <c r="H1015" s="31">
        <v>0</v>
      </c>
      <c r="I1015" s="31">
        <v>0</v>
      </c>
      <c r="J1015" s="31">
        <v>0</v>
      </c>
      <c r="K1015" s="33">
        <v>0</v>
      </c>
      <c r="L1015" s="31">
        <v>0</v>
      </c>
      <c r="M1015" s="31">
        <v>1024</v>
      </c>
      <c r="N1015" s="31">
        <v>4690416</v>
      </c>
      <c r="O1015" s="31">
        <v>0</v>
      </c>
      <c r="P1015" s="31">
        <v>0</v>
      </c>
      <c r="Q1015" s="31">
        <v>0</v>
      </c>
      <c r="R1015" s="31">
        <v>0</v>
      </c>
      <c r="S1015" s="31">
        <v>0</v>
      </c>
      <c r="T1015" s="31">
        <v>0</v>
      </c>
      <c r="U1015" s="31">
        <v>0</v>
      </c>
      <c r="V1015" s="31">
        <v>0</v>
      </c>
      <c r="W1015" s="31">
        <v>0</v>
      </c>
      <c r="X1015" s="31">
        <v>0</v>
      </c>
      <c r="Y1015" s="31">
        <v>0</v>
      </c>
      <c r="Z1015" s="31">
        <v>0</v>
      </c>
      <c r="AA1015" s="31">
        <v>0</v>
      </c>
      <c r="AB1015" s="31">
        <v>0</v>
      </c>
      <c r="AC1015" s="31">
        <f>ROUND(N1015*1.5%,2)</f>
        <v>70356.240000000005</v>
      </c>
      <c r="AD1015" s="31">
        <v>0</v>
      </c>
      <c r="AE1015" s="31">
        <v>0</v>
      </c>
      <c r="AF1015" s="34" t="s">
        <v>274</v>
      </c>
      <c r="AG1015" s="34">
        <v>2022</v>
      </c>
      <c r="AH1015" s="35">
        <v>2022</v>
      </c>
      <c r="AT1015" s="20" t="e">
        <f t="shared" si="428"/>
        <v>#N/A</v>
      </c>
    </row>
    <row r="1016" spans="1:46" ht="61.5" x14ac:dyDescent="0.85">
      <c r="A1016" s="20">
        <v>1</v>
      </c>
      <c r="B1016" s="66">
        <f>SUBTOTAL(103,$A$929:A1016)</f>
        <v>86</v>
      </c>
      <c r="C1016" s="24" t="s">
        <v>449</v>
      </c>
      <c r="D1016" s="31">
        <f t="shared" si="429"/>
        <v>4331631.53</v>
      </c>
      <c r="E1016" s="31">
        <v>0</v>
      </c>
      <c r="F1016" s="31">
        <v>0</v>
      </c>
      <c r="G1016" s="31">
        <v>0</v>
      </c>
      <c r="H1016" s="31">
        <v>0</v>
      </c>
      <c r="I1016" s="31">
        <v>0</v>
      </c>
      <c r="J1016" s="31">
        <v>0</v>
      </c>
      <c r="K1016" s="33">
        <v>2</v>
      </c>
      <c r="L1016" s="31">
        <v>4331631.53</v>
      </c>
      <c r="M1016" s="31">
        <v>0</v>
      </c>
      <c r="N1016" s="31">
        <v>0</v>
      </c>
      <c r="O1016" s="31">
        <v>0</v>
      </c>
      <c r="P1016" s="31">
        <v>0</v>
      </c>
      <c r="Q1016" s="31">
        <v>0</v>
      </c>
      <c r="R1016" s="31">
        <v>0</v>
      </c>
      <c r="S1016" s="31">
        <v>0</v>
      </c>
      <c r="T1016" s="31">
        <v>0</v>
      </c>
      <c r="U1016" s="31">
        <v>0</v>
      </c>
      <c r="V1016" s="31">
        <v>0</v>
      </c>
      <c r="W1016" s="31">
        <v>0</v>
      </c>
      <c r="X1016" s="31">
        <v>0</v>
      </c>
      <c r="Y1016" s="31">
        <v>0</v>
      </c>
      <c r="Z1016" s="31">
        <v>0</v>
      </c>
      <c r="AA1016" s="31">
        <v>0</v>
      </c>
      <c r="AB1016" s="31">
        <v>0</v>
      </c>
      <c r="AC1016" s="31">
        <v>0</v>
      </c>
      <c r="AD1016" s="31">
        <v>0</v>
      </c>
      <c r="AE1016" s="31">
        <v>0</v>
      </c>
      <c r="AF1016" s="34" t="s">
        <v>274</v>
      </c>
      <c r="AG1016" s="34">
        <v>2022</v>
      </c>
      <c r="AH1016" s="35" t="s">
        <v>274</v>
      </c>
      <c r="AT1016" s="20">
        <f t="shared" si="428"/>
        <v>1</v>
      </c>
    </row>
    <row r="1017" spans="1:46" ht="61.5" x14ac:dyDescent="0.85">
      <c r="A1017" s="20">
        <v>1</v>
      </c>
      <c r="B1017" s="66">
        <f>SUBTOTAL(103,$A$929:A1017)</f>
        <v>87</v>
      </c>
      <c r="C1017" s="24" t="s">
        <v>450</v>
      </c>
      <c r="D1017" s="31">
        <f t="shared" si="429"/>
        <v>2789948.7</v>
      </c>
      <c r="E1017" s="31">
        <v>0</v>
      </c>
      <c r="F1017" s="31">
        <v>0</v>
      </c>
      <c r="G1017" s="31">
        <v>0</v>
      </c>
      <c r="H1017" s="31">
        <v>0</v>
      </c>
      <c r="I1017" s="31">
        <v>0</v>
      </c>
      <c r="J1017" s="31">
        <v>0</v>
      </c>
      <c r="K1017" s="33">
        <v>0</v>
      </c>
      <c r="L1017" s="31">
        <v>0</v>
      </c>
      <c r="M1017" s="31">
        <v>600</v>
      </c>
      <c r="N1017" s="31">
        <v>2748717.93</v>
      </c>
      <c r="O1017" s="31">
        <v>0</v>
      </c>
      <c r="P1017" s="31">
        <v>0</v>
      </c>
      <c r="Q1017" s="31">
        <v>0</v>
      </c>
      <c r="R1017" s="31">
        <v>0</v>
      </c>
      <c r="S1017" s="31">
        <v>0</v>
      </c>
      <c r="T1017" s="31">
        <v>0</v>
      </c>
      <c r="U1017" s="31">
        <v>0</v>
      </c>
      <c r="V1017" s="31">
        <v>0</v>
      </c>
      <c r="W1017" s="31">
        <v>0</v>
      </c>
      <c r="X1017" s="31">
        <v>0</v>
      </c>
      <c r="Y1017" s="31">
        <v>0</v>
      </c>
      <c r="Z1017" s="31">
        <v>0</v>
      </c>
      <c r="AA1017" s="31">
        <v>0</v>
      </c>
      <c r="AB1017" s="31">
        <v>0</v>
      </c>
      <c r="AC1017" s="31">
        <f t="shared" ref="AC1017:AC1024" si="434">ROUND(N1017*1.5%,2)</f>
        <v>41230.769999999997</v>
      </c>
      <c r="AD1017" s="31">
        <v>0</v>
      </c>
      <c r="AE1017" s="31">
        <v>0</v>
      </c>
      <c r="AF1017" s="34" t="s">
        <v>274</v>
      </c>
      <c r="AG1017" s="34">
        <v>2022</v>
      </c>
      <c r="AH1017" s="35">
        <v>2022</v>
      </c>
      <c r="AT1017" s="20" t="e">
        <f t="shared" si="428"/>
        <v>#N/A</v>
      </c>
    </row>
    <row r="1018" spans="1:46" ht="61.5" x14ac:dyDescent="0.85">
      <c r="A1018" s="20">
        <v>1</v>
      </c>
      <c r="B1018" s="66">
        <f>SUBTOTAL(103,$A$929:A1018)</f>
        <v>88</v>
      </c>
      <c r="C1018" s="24" t="s">
        <v>451</v>
      </c>
      <c r="D1018" s="31">
        <f t="shared" si="429"/>
        <v>3242314.75</v>
      </c>
      <c r="E1018" s="31">
        <v>0</v>
      </c>
      <c r="F1018" s="31">
        <v>0</v>
      </c>
      <c r="G1018" s="31">
        <v>0</v>
      </c>
      <c r="H1018" s="31">
        <v>0</v>
      </c>
      <c r="I1018" s="31">
        <v>0</v>
      </c>
      <c r="J1018" s="31">
        <v>0</v>
      </c>
      <c r="K1018" s="33">
        <v>0</v>
      </c>
      <c r="L1018" s="31">
        <v>0</v>
      </c>
      <c r="M1018" s="31">
        <v>747</v>
      </c>
      <c r="N1018" s="31">
        <v>3194398.77</v>
      </c>
      <c r="O1018" s="31">
        <v>0</v>
      </c>
      <c r="P1018" s="31">
        <v>0</v>
      </c>
      <c r="Q1018" s="31">
        <v>0</v>
      </c>
      <c r="R1018" s="31">
        <v>0</v>
      </c>
      <c r="S1018" s="31">
        <v>0</v>
      </c>
      <c r="T1018" s="31">
        <v>0</v>
      </c>
      <c r="U1018" s="31">
        <v>0</v>
      </c>
      <c r="V1018" s="31">
        <v>0</v>
      </c>
      <c r="W1018" s="31">
        <v>0</v>
      </c>
      <c r="X1018" s="31">
        <v>0</v>
      </c>
      <c r="Y1018" s="31">
        <v>0</v>
      </c>
      <c r="Z1018" s="31">
        <v>0</v>
      </c>
      <c r="AA1018" s="31">
        <v>0</v>
      </c>
      <c r="AB1018" s="31">
        <v>0</v>
      </c>
      <c r="AC1018" s="31">
        <f t="shared" si="434"/>
        <v>47915.98</v>
      </c>
      <c r="AD1018" s="31">
        <v>0</v>
      </c>
      <c r="AE1018" s="31">
        <v>0</v>
      </c>
      <c r="AF1018" s="34" t="s">
        <v>274</v>
      </c>
      <c r="AG1018" s="34">
        <v>2022</v>
      </c>
      <c r="AH1018" s="35">
        <v>2022</v>
      </c>
      <c r="AT1018" s="20" t="e">
        <f t="shared" si="428"/>
        <v>#N/A</v>
      </c>
    </row>
    <row r="1019" spans="1:46" ht="61.5" x14ac:dyDescent="0.85">
      <c r="A1019" s="20">
        <v>1</v>
      </c>
      <c r="B1019" s="66">
        <f>SUBTOTAL(103,$A$929:A1019)</f>
        <v>89</v>
      </c>
      <c r="C1019" s="24" t="s">
        <v>452</v>
      </c>
      <c r="D1019" s="31">
        <f t="shared" si="429"/>
        <v>2210461.9000000004</v>
      </c>
      <c r="E1019" s="31">
        <v>0</v>
      </c>
      <c r="F1019" s="31">
        <v>0</v>
      </c>
      <c r="G1019" s="31">
        <v>0</v>
      </c>
      <c r="H1019" s="31">
        <v>0</v>
      </c>
      <c r="I1019" s="31">
        <v>0</v>
      </c>
      <c r="J1019" s="31">
        <v>0</v>
      </c>
      <c r="K1019" s="33">
        <v>0</v>
      </c>
      <c r="L1019" s="31">
        <v>0</v>
      </c>
      <c r="M1019" s="31">
        <v>483</v>
      </c>
      <c r="N1019" s="31">
        <v>2177794.9800000004</v>
      </c>
      <c r="O1019" s="31">
        <v>0</v>
      </c>
      <c r="P1019" s="31">
        <v>0</v>
      </c>
      <c r="Q1019" s="31">
        <v>0</v>
      </c>
      <c r="R1019" s="31">
        <v>0</v>
      </c>
      <c r="S1019" s="31">
        <v>0</v>
      </c>
      <c r="T1019" s="31">
        <v>0</v>
      </c>
      <c r="U1019" s="31">
        <v>0</v>
      </c>
      <c r="V1019" s="31">
        <v>0</v>
      </c>
      <c r="W1019" s="31">
        <v>0</v>
      </c>
      <c r="X1019" s="31">
        <v>0</v>
      </c>
      <c r="Y1019" s="31">
        <v>0</v>
      </c>
      <c r="Z1019" s="31">
        <v>0</v>
      </c>
      <c r="AA1019" s="31">
        <v>0</v>
      </c>
      <c r="AB1019" s="31">
        <v>0</v>
      </c>
      <c r="AC1019" s="31">
        <f t="shared" si="434"/>
        <v>32666.92</v>
      </c>
      <c r="AD1019" s="31">
        <v>0</v>
      </c>
      <c r="AE1019" s="31">
        <v>0</v>
      </c>
      <c r="AF1019" s="34" t="s">
        <v>274</v>
      </c>
      <c r="AG1019" s="34">
        <v>2022</v>
      </c>
      <c r="AH1019" s="35">
        <v>2022</v>
      </c>
      <c r="AT1019" s="20" t="e">
        <f t="shared" si="428"/>
        <v>#N/A</v>
      </c>
    </row>
    <row r="1020" spans="1:46" ht="61.5" x14ac:dyDescent="0.85">
      <c r="A1020" s="20">
        <v>1</v>
      </c>
      <c r="B1020" s="66">
        <f>SUBTOTAL(103,$A$929:A1020)</f>
        <v>90</v>
      </c>
      <c r="C1020" s="24" t="s">
        <v>453</v>
      </c>
      <c r="D1020" s="31">
        <f t="shared" si="429"/>
        <v>7557284.3099999996</v>
      </c>
      <c r="E1020" s="31">
        <v>0</v>
      </c>
      <c r="F1020" s="31">
        <v>0</v>
      </c>
      <c r="G1020" s="31">
        <v>0</v>
      </c>
      <c r="H1020" s="31">
        <v>0</v>
      </c>
      <c r="I1020" s="31">
        <v>0</v>
      </c>
      <c r="J1020" s="31">
        <v>0</v>
      </c>
      <c r="K1020" s="33">
        <v>0</v>
      </c>
      <c r="L1020" s="31">
        <v>0</v>
      </c>
      <c r="M1020" s="31">
        <v>1501</v>
      </c>
      <c r="N1020" s="31">
        <v>7445600.3099999996</v>
      </c>
      <c r="O1020" s="31">
        <v>0</v>
      </c>
      <c r="P1020" s="31">
        <v>0</v>
      </c>
      <c r="Q1020" s="31">
        <v>0</v>
      </c>
      <c r="R1020" s="31">
        <v>0</v>
      </c>
      <c r="S1020" s="31">
        <v>0</v>
      </c>
      <c r="T1020" s="31">
        <v>0</v>
      </c>
      <c r="U1020" s="31">
        <v>0</v>
      </c>
      <c r="V1020" s="31">
        <v>0</v>
      </c>
      <c r="W1020" s="31">
        <v>0</v>
      </c>
      <c r="X1020" s="31">
        <v>0</v>
      </c>
      <c r="Y1020" s="31">
        <v>0</v>
      </c>
      <c r="Z1020" s="31">
        <v>0</v>
      </c>
      <c r="AA1020" s="31">
        <v>0</v>
      </c>
      <c r="AB1020" s="31">
        <v>0</v>
      </c>
      <c r="AC1020" s="31">
        <f t="shared" si="434"/>
        <v>111684</v>
      </c>
      <c r="AD1020" s="31">
        <v>0</v>
      </c>
      <c r="AE1020" s="31">
        <v>0</v>
      </c>
      <c r="AF1020" s="34" t="s">
        <v>274</v>
      </c>
      <c r="AG1020" s="34">
        <v>2022</v>
      </c>
      <c r="AH1020" s="35">
        <v>2022</v>
      </c>
      <c r="AT1020" s="20" t="e">
        <f t="shared" si="428"/>
        <v>#N/A</v>
      </c>
    </row>
    <row r="1021" spans="1:46" ht="61.5" x14ac:dyDescent="0.85">
      <c r="A1021" s="20">
        <v>1</v>
      </c>
      <c r="B1021" s="66">
        <f>SUBTOTAL(103,$A$929:A1021)</f>
        <v>91</v>
      </c>
      <c r="C1021" s="24" t="s">
        <v>454</v>
      </c>
      <c r="D1021" s="31">
        <f t="shared" si="429"/>
        <v>3073377.74</v>
      </c>
      <c r="E1021" s="31">
        <v>0</v>
      </c>
      <c r="F1021" s="31">
        <v>0</v>
      </c>
      <c r="G1021" s="31">
        <v>0</v>
      </c>
      <c r="H1021" s="31">
        <v>0</v>
      </c>
      <c r="I1021" s="31">
        <v>0</v>
      </c>
      <c r="J1021" s="31">
        <v>0</v>
      </c>
      <c r="K1021" s="33">
        <v>0</v>
      </c>
      <c r="L1021" s="31">
        <v>0</v>
      </c>
      <c r="M1021" s="31">
        <v>600</v>
      </c>
      <c r="N1021" s="31">
        <v>3027958.3600000003</v>
      </c>
      <c r="O1021" s="31">
        <v>0</v>
      </c>
      <c r="P1021" s="31">
        <v>0</v>
      </c>
      <c r="Q1021" s="31">
        <v>0</v>
      </c>
      <c r="R1021" s="31">
        <v>0</v>
      </c>
      <c r="S1021" s="31">
        <v>0</v>
      </c>
      <c r="T1021" s="31">
        <v>0</v>
      </c>
      <c r="U1021" s="31">
        <v>0</v>
      </c>
      <c r="V1021" s="31">
        <v>0</v>
      </c>
      <c r="W1021" s="31">
        <v>0</v>
      </c>
      <c r="X1021" s="31">
        <v>0</v>
      </c>
      <c r="Y1021" s="31">
        <v>0</v>
      </c>
      <c r="Z1021" s="31">
        <v>0</v>
      </c>
      <c r="AA1021" s="31">
        <v>0</v>
      </c>
      <c r="AB1021" s="31">
        <v>0</v>
      </c>
      <c r="AC1021" s="31">
        <f t="shared" si="434"/>
        <v>45419.38</v>
      </c>
      <c r="AD1021" s="31">
        <v>0</v>
      </c>
      <c r="AE1021" s="31">
        <v>0</v>
      </c>
      <c r="AF1021" s="34" t="s">
        <v>274</v>
      </c>
      <c r="AG1021" s="34">
        <v>2022</v>
      </c>
      <c r="AH1021" s="35">
        <v>2022</v>
      </c>
      <c r="AT1021" s="20" t="e">
        <f t="shared" si="428"/>
        <v>#N/A</v>
      </c>
    </row>
    <row r="1022" spans="1:46" ht="61.5" x14ac:dyDescent="0.85">
      <c r="A1022" s="20">
        <v>1</v>
      </c>
      <c r="B1022" s="66">
        <f>SUBTOTAL(103,$A$929:A1022)</f>
        <v>92</v>
      </c>
      <c r="C1022" s="24" t="s">
        <v>455</v>
      </c>
      <c r="D1022" s="31">
        <f t="shared" si="429"/>
        <v>1665415</v>
      </c>
      <c r="E1022" s="31">
        <v>0</v>
      </c>
      <c r="F1022" s="31">
        <v>0</v>
      </c>
      <c r="G1022" s="31">
        <v>0</v>
      </c>
      <c r="H1022" s="31">
        <v>0</v>
      </c>
      <c r="I1022" s="31">
        <v>0</v>
      </c>
      <c r="J1022" s="31">
        <v>0</v>
      </c>
      <c r="K1022" s="33">
        <v>0</v>
      </c>
      <c r="L1022" s="31">
        <v>0</v>
      </c>
      <c r="M1022" s="31">
        <v>369</v>
      </c>
      <c r="N1022" s="31">
        <v>1640802.96</v>
      </c>
      <c r="O1022" s="31">
        <v>0</v>
      </c>
      <c r="P1022" s="31">
        <v>0</v>
      </c>
      <c r="Q1022" s="31">
        <v>0</v>
      </c>
      <c r="R1022" s="31">
        <v>0</v>
      </c>
      <c r="S1022" s="31">
        <v>0</v>
      </c>
      <c r="T1022" s="31">
        <v>0</v>
      </c>
      <c r="U1022" s="31">
        <v>0</v>
      </c>
      <c r="V1022" s="31">
        <v>0</v>
      </c>
      <c r="W1022" s="31">
        <v>0</v>
      </c>
      <c r="X1022" s="31">
        <v>0</v>
      </c>
      <c r="Y1022" s="31">
        <v>0</v>
      </c>
      <c r="Z1022" s="31">
        <v>0</v>
      </c>
      <c r="AA1022" s="31">
        <v>0</v>
      </c>
      <c r="AB1022" s="31">
        <v>0</v>
      </c>
      <c r="AC1022" s="31">
        <f t="shared" si="434"/>
        <v>24612.04</v>
      </c>
      <c r="AD1022" s="31">
        <v>0</v>
      </c>
      <c r="AE1022" s="31">
        <v>0</v>
      </c>
      <c r="AF1022" s="34" t="s">
        <v>274</v>
      </c>
      <c r="AG1022" s="34">
        <v>2022</v>
      </c>
      <c r="AH1022" s="35">
        <v>2022</v>
      </c>
      <c r="AT1022" s="20" t="e">
        <f t="shared" si="428"/>
        <v>#N/A</v>
      </c>
    </row>
    <row r="1023" spans="1:46" ht="61.5" x14ac:dyDescent="0.85">
      <c r="A1023" s="20">
        <v>1</v>
      </c>
      <c r="B1023" s="66">
        <f>SUBTOTAL(103,$A$929:A1023)</f>
        <v>93</v>
      </c>
      <c r="C1023" s="24" t="s">
        <v>214</v>
      </c>
      <c r="D1023" s="31">
        <f t="shared" si="429"/>
        <v>2384110.7700000005</v>
      </c>
      <c r="E1023" s="31">
        <v>0</v>
      </c>
      <c r="F1023" s="31">
        <v>0</v>
      </c>
      <c r="G1023" s="31">
        <v>0</v>
      </c>
      <c r="H1023" s="31">
        <v>0</v>
      </c>
      <c r="I1023" s="31">
        <v>0</v>
      </c>
      <c r="J1023" s="31">
        <v>0</v>
      </c>
      <c r="K1023" s="33">
        <v>0</v>
      </c>
      <c r="L1023" s="31">
        <v>0</v>
      </c>
      <c r="M1023" s="31">
        <v>525</v>
      </c>
      <c r="N1023" s="31">
        <v>2348877.6100000003</v>
      </c>
      <c r="O1023" s="31">
        <v>0</v>
      </c>
      <c r="P1023" s="31">
        <v>0</v>
      </c>
      <c r="Q1023" s="31">
        <v>0</v>
      </c>
      <c r="R1023" s="31">
        <v>0</v>
      </c>
      <c r="S1023" s="31">
        <v>0</v>
      </c>
      <c r="T1023" s="31">
        <v>0</v>
      </c>
      <c r="U1023" s="31">
        <v>0</v>
      </c>
      <c r="V1023" s="31">
        <v>0</v>
      </c>
      <c r="W1023" s="31">
        <v>0</v>
      </c>
      <c r="X1023" s="31">
        <v>0</v>
      </c>
      <c r="Y1023" s="31">
        <v>0</v>
      </c>
      <c r="Z1023" s="31">
        <v>0</v>
      </c>
      <c r="AA1023" s="31">
        <v>0</v>
      </c>
      <c r="AB1023" s="31">
        <v>0</v>
      </c>
      <c r="AC1023" s="31">
        <f t="shared" si="434"/>
        <v>35233.160000000003</v>
      </c>
      <c r="AD1023" s="31">
        <v>0</v>
      </c>
      <c r="AE1023" s="31">
        <v>0</v>
      </c>
      <c r="AF1023" s="34" t="s">
        <v>274</v>
      </c>
      <c r="AG1023" s="34">
        <v>2022</v>
      </c>
      <c r="AH1023" s="35">
        <v>2022</v>
      </c>
      <c r="AT1023" s="20" t="e">
        <f t="shared" si="428"/>
        <v>#N/A</v>
      </c>
    </row>
    <row r="1024" spans="1:46" ht="61.5" x14ac:dyDescent="0.85">
      <c r="A1024" s="20">
        <v>1</v>
      </c>
      <c r="B1024" s="66">
        <f>SUBTOTAL(103,$A$929:A1024)</f>
        <v>94</v>
      </c>
      <c r="C1024" s="24" t="s">
        <v>213</v>
      </c>
      <c r="D1024" s="31">
        <f t="shared" si="429"/>
        <v>2817533.3499999996</v>
      </c>
      <c r="E1024" s="31">
        <v>0</v>
      </c>
      <c r="F1024" s="31">
        <v>0</v>
      </c>
      <c r="G1024" s="31">
        <v>0</v>
      </c>
      <c r="H1024" s="31">
        <v>0</v>
      </c>
      <c r="I1024" s="31">
        <v>0</v>
      </c>
      <c r="J1024" s="31">
        <v>0</v>
      </c>
      <c r="K1024" s="33">
        <v>0</v>
      </c>
      <c r="L1024" s="31">
        <v>0</v>
      </c>
      <c r="M1024" s="31">
        <v>614</v>
      </c>
      <c r="N1024" s="31">
        <v>2775894.9299999997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  <c r="V1024" s="31">
        <v>0</v>
      </c>
      <c r="W1024" s="31">
        <v>0</v>
      </c>
      <c r="X1024" s="31">
        <v>0</v>
      </c>
      <c r="Y1024" s="31">
        <v>0</v>
      </c>
      <c r="Z1024" s="31">
        <v>0</v>
      </c>
      <c r="AA1024" s="31">
        <v>0</v>
      </c>
      <c r="AB1024" s="31">
        <v>0</v>
      </c>
      <c r="AC1024" s="31">
        <f t="shared" si="434"/>
        <v>41638.42</v>
      </c>
      <c r="AD1024" s="31">
        <v>0</v>
      </c>
      <c r="AE1024" s="31">
        <v>0</v>
      </c>
      <c r="AF1024" s="34" t="s">
        <v>274</v>
      </c>
      <c r="AG1024" s="34">
        <v>2022</v>
      </c>
      <c r="AH1024" s="35">
        <v>2022</v>
      </c>
      <c r="AT1024" s="20" t="e">
        <f t="shared" si="428"/>
        <v>#N/A</v>
      </c>
    </row>
    <row r="1025" spans="1:46" ht="61.5" x14ac:dyDescent="0.85">
      <c r="A1025" s="20">
        <v>1</v>
      </c>
      <c r="B1025" s="66">
        <f>SUBTOTAL(103,$A$929:A1025)</f>
        <v>95</v>
      </c>
      <c r="C1025" s="24" t="s">
        <v>456</v>
      </c>
      <c r="D1025" s="31">
        <f t="shared" si="429"/>
        <v>4331631.53</v>
      </c>
      <c r="E1025" s="31">
        <v>0</v>
      </c>
      <c r="F1025" s="31">
        <v>0</v>
      </c>
      <c r="G1025" s="31">
        <v>0</v>
      </c>
      <c r="H1025" s="31">
        <v>0</v>
      </c>
      <c r="I1025" s="31">
        <v>0</v>
      </c>
      <c r="J1025" s="31">
        <v>0</v>
      </c>
      <c r="K1025" s="33">
        <v>2</v>
      </c>
      <c r="L1025" s="31">
        <v>4331631.53</v>
      </c>
      <c r="M1025" s="31">
        <v>0</v>
      </c>
      <c r="N1025" s="31">
        <v>0</v>
      </c>
      <c r="O1025" s="31">
        <v>0</v>
      </c>
      <c r="P1025" s="31">
        <v>0</v>
      </c>
      <c r="Q1025" s="31">
        <v>0</v>
      </c>
      <c r="R1025" s="31">
        <v>0</v>
      </c>
      <c r="S1025" s="31">
        <v>0</v>
      </c>
      <c r="T1025" s="31">
        <v>0</v>
      </c>
      <c r="U1025" s="31">
        <v>0</v>
      </c>
      <c r="V1025" s="31">
        <v>0</v>
      </c>
      <c r="W1025" s="31">
        <v>0</v>
      </c>
      <c r="X1025" s="31">
        <v>0</v>
      </c>
      <c r="Y1025" s="31">
        <v>0</v>
      </c>
      <c r="Z1025" s="31">
        <v>0</v>
      </c>
      <c r="AA1025" s="31">
        <v>0</v>
      </c>
      <c r="AB1025" s="31">
        <v>0</v>
      </c>
      <c r="AC1025" s="31">
        <v>0</v>
      </c>
      <c r="AD1025" s="31">
        <v>0</v>
      </c>
      <c r="AE1025" s="31">
        <v>0</v>
      </c>
      <c r="AF1025" s="34" t="s">
        <v>274</v>
      </c>
      <c r="AG1025" s="34">
        <v>2022</v>
      </c>
      <c r="AH1025" s="35" t="s">
        <v>274</v>
      </c>
      <c r="AT1025" s="20" t="e">
        <f t="shared" si="428"/>
        <v>#N/A</v>
      </c>
    </row>
    <row r="1026" spans="1:46" ht="61.5" x14ac:dyDescent="0.85">
      <c r="A1026" s="20">
        <v>1</v>
      </c>
      <c r="B1026" s="66">
        <f>SUBTOTAL(103,$A$929:A1026)</f>
        <v>96</v>
      </c>
      <c r="C1026" s="24" t="s">
        <v>457</v>
      </c>
      <c r="D1026" s="31">
        <f t="shared" si="429"/>
        <v>1660239.97</v>
      </c>
      <c r="E1026" s="31">
        <v>0</v>
      </c>
      <c r="F1026" s="31">
        <v>0</v>
      </c>
      <c r="G1026" s="31">
        <v>0</v>
      </c>
      <c r="H1026" s="31">
        <v>0</v>
      </c>
      <c r="I1026" s="31">
        <v>0</v>
      </c>
      <c r="J1026" s="31">
        <v>0</v>
      </c>
      <c r="K1026" s="33">
        <v>0</v>
      </c>
      <c r="L1026" s="31">
        <v>0</v>
      </c>
      <c r="M1026" s="31">
        <v>370</v>
      </c>
      <c r="N1026" s="31">
        <v>1635704.4</v>
      </c>
      <c r="O1026" s="31">
        <v>0</v>
      </c>
      <c r="P1026" s="31">
        <v>0</v>
      </c>
      <c r="Q1026" s="31">
        <v>0</v>
      </c>
      <c r="R1026" s="31">
        <v>0</v>
      </c>
      <c r="S1026" s="31">
        <v>0</v>
      </c>
      <c r="T1026" s="31">
        <v>0</v>
      </c>
      <c r="U1026" s="31">
        <v>0</v>
      </c>
      <c r="V1026" s="31">
        <v>0</v>
      </c>
      <c r="W1026" s="31">
        <v>0</v>
      </c>
      <c r="X1026" s="31">
        <v>0</v>
      </c>
      <c r="Y1026" s="31">
        <v>0</v>
      </c>
      <c r="Z1026" s="31">
        <v>0</v>
      </c>
      <c r="AA1026" s="31">
        <v>0</v>
      </c>
      <c r="AB1026" s="31">
        <v>0</v>
      </c>
      <c r="AC1026" s="31">
        <f t="shared" ref="AC1026:AC1028" si="435">ROUND(N1026*1.5%,2)</f>
        <v>24535.57</v>
      </c>
      <c r="AD1026" s="31">
        <v>0</v>
      </c>
      <c r="AE1026" s="31">
        <v>0</v>
      </c>
      <c r="AF1026" s="34" t="s">
        <v>274</v>
      </c>
      <c r="AG1026" s="34">
        <v>2022</v>
      </c>
      <c r="AH1026" s="35">
        <v>2022</v>
      </c>
      <c r="AT1026" s="20" t="e">
        <f t="shared" si="428"/>
        <v>#N/A</v>
      </c>
    </row>
    <row r="1027" spans="1:46" ht="61.5" x14ac:dyDescent="0.85">
      <c r="A1027" s="20">
        <v>1</v>
      </c>
      <c r="B1027" s="66">
        <f>SUBTOTAL(103,$A$929:A1027)</f>
        <v>97</v>
      </c>
      <c r="C1027" s="24" t="s">
        <v>458</v>
      </c>
      <c r="D1027" s="31">
        <f t="shared" si="429"/>
        <v>2407235.63</v>
      </c>
      <c r="E1027" s="31">
        <v>0</v>
      </c>
      <c r="F1027" s="31">
        <v>0</v>
      </c>
      <c r="G1027" s="31">
        <v>0</v>
      </c>
      <c r="H1027" s="31">
        <v>0</v>
      </c>
      <c r="I1027" s="31">
        <v>0</v>
      </c>
      <c r="J1027" s="31">
        <v>0</v>
      </c>
      <c r="K1027" s="33">
        <v>0</v>
      </c>
      <c r="L1027" s="31">
        <v>0</v>
      </c>
      <c r="M1027" s="31">
        <v>530</v>
      </c>
      <c r="N1027" s="31">
        <v>2371660.7199999997</v>
      </c>
      <c r="O1027" s="31">
        <v>0</v>
      </c>
      <c r="P1027" s="31">
        <v>0</v>
      </c>
      <c r="Q1027" s="31">
        <v>0</v>
      </c>
      <c r="R1027" s="31">
        <v>0</v>
      </c>
      <c r="S1027" s="31">
        <v>0</v>
      </c>
      <c r="T1027" s="31">
        <v>0</v>
      </c>
      <c r="U1027" s="31">
        <v>0</v>
      </c>
      <c r="V1027" s="31">
        <v>0</v>
      </c>
      <c r="W1027" s="31">
        <v>0</v>
      </c>
      <c r="X1027" s="31">
        <v>0</v>
      </c>
      <c r="Y1027" s="31">
        <v>0</v>
      </c>
      <c r="Z1027" s="31">
        <v>0</v>
      </c>
      <c r="AA1027" s="31">
        <v>0</v>
      </c>
      <c r="AB1027" s="31">
        <v>0</v>
      </c>
      <c r="AC1027" s="31">
        <f t="shared" si="435"/>
        <v>35574.910000000003</v>
      </c>
      <c r="AD1027" s="31">
        <v>0</v>
      </c>
      <c r="AE1027" s="31">
        <v>0</v>
      </c>
      <c r="AF1027" s="34" t="s">
        <v>274</v>
      </c>
      <c r="AG1027" s="34">
        <v>2022</v>
      </c>
      <c r="AH1027" s="35">
        <v>2022</v>
      </c>
      <c r="AT1027" s="20" t="e">
        <f t="shared" si="428"/>
        <v>#N/A</v>
      </c>
    </row>
    <row r="1028" spans="1:46" ht="61.5" x14ac:dyDescent="0.85">
      <c r="A1028" s="20">
        <v>1</v>
      </c>
      <c r="B1028" s="66">
        <f>SUBTOTAL(103,$A$929:A1028)</f>
        <v>98</v>
      </c>
      <c r="C1028" s="24" t="s">
        <v>459</v>
      </c>
      <c r="D1028" s="31">
        <f t="shared" si="429"/>
        <v>1790689.27</v>
      </c>
      <c r="E1028" s="31">
        <v>0</v>
      </c>
      <c r="F1028" s="31">
        <v>0</v>
      </c>
      <c r="G1028" s="31">
        <v>0</v>
      </c>
      <c r="H1028" s="31">
        <v>0</v>
      </c>
      <c r="I1028" s="31">
        <v>0</v>
      </c>
      <c r="J1028" s="31">
        <v>0</v>
      </c>
      <c r="K1028" s="33">
        <v>0</v>
      </c>
      <c r="L1028" s="31">
        <v>0</v>
      </c>
      <c r="M1028" s="31">
        <v>396</v>
      </c>
      <c r="N1028" s="31">
        <v>1764225.8800000001</v>
      </c>
      <c r="O1028" s="31">
        <v>0</v>
      </c>
      <c r="P1028" s="31">
        <v>0</v>
      </c>
      <c r="Q1028" s="31">
        <v>0</v>
      </c>
      <c r="R1028" s="31">
        <v>0</v>
      </c>
      <c r="S1028" s="31">
        <v>0</v>
      </c>
      <c r="T1028" s="31">
        <v>0</v>
      </c>
      <c r="U1028" s="31">
        <v>0</v>
      </c>
      <c r="V1028" s="31">
        <v>0</v>
      </c>
      <c r="W1028" s="31">
        <v>0</v>
      </c>
      <c r="X1028" s="31">
        <v>0</v>
      </c>
      <c r="Y1028" s="31">
        <v>0</v>
      </c>
      <c r="Z1028" s="31">
        <v>0</v>
      </c>
      <c r="AA1028" s="31">
        <v>0</v>
      </c>
      <c r="AB1028" s="31">
        <v>0</v>
      </c>
      <c r="AC1028" s="31">
        <f t="shared" si="435"/>
        <v>26463.39</v>
      </c>
      <c r="AD1028" s="31">
        <v>0</v>
      </c>
      <c r="AE1028" s="31">
        <v>0</v>
      </c>
      <c r="AF1028" s="34" t="s">
        <v>274</v>
      </c>
      <c r="AG1028" s="34">
        <v>2022</v>
      </c>
      <c r="AH1028" s="35">
        <v>2022</v>
      </c>
      <c r="AT1028" s="20" t="e">
        <f t="shared" si="428"/>
        <v>#N/A</v>
      </c>
    </row>
    <row r="1029" spans="1:46" ht="61.5" x14ac:dyDescent="0.85">
      <c r="A1029" s="20">
        <v>1</v>
      </c>
      <c r="B1029" s="66">
        <f>SUBTOTAL(103,$A$929:A1029)</f>
        <v>99</v>
      </c>
      <c r="C1029" s="24" t="s">
        <v>857</v>
      </c>
      <c r="D1029" s="31">
        <f t="shared" si="429"/>
        <v>6300000</v>
      </c>
      <c r="E1029" s="31">
        <v>0</v>
      </c>
      <c r="F1029" s="31">
        <v>0</v>
      </c>
      <c r="G1029" s="31">
        <v>0</v>
      </c>
      <c r="H1029" s="31">
        <v>0</v>
      </c>
      <c r="I1029" s="31">
        <v>0</v>
      </c>
      <c r="J1029" s="31">
        <v>0</v>
      </c>
      <c r="K1029" s="33">
        <v>3</v>
      </c>
      <c r="L1029" s="31">
        <v>6300000</v>
      </c>
      <c r="M1029" s="31">
        <v>0</v>
      </c>
      <c r="N1029" s="31">
        <v>0</v>
      </c>
      <c r="O1029" s="31">
        <v>0</v>
      </c>
      <c r="P1029" s="31">
        <v>0</v>
      </c>
      <c r="Q1029" s="31">
        <v>0</v>
      </c>
      <c r="R1029" s="31">
        <v>0</v>
      </c>
      <c r="S1029" s="31">
        <v>0</v>
      </c>
      <c r="T1029" s="31">
        <v>0</v>
      </c>
      <c r="U1029" s="31">
        <v>0</v>
      </c>
      <c r="V1029" s="31">
        <v>0</v>
      </c>
      <c r="W1029" s="31">
        <v>0</v>
      </c>
      <c r="X1029" s="31">
        <v>0</v>
      </c>
      <c r="Y1029" s="31">
        <v>0</v>
      </c>
      <c r="Z1029" s="31">
        <v>0</v>
      </c>
      <c r="AA1029" s="31">
        <v>0</v>
      </c>
      <c r="AB1029" s="31">
        <v>0</v>
      </c>
      <c r="AC1029" s="31">
        <v>0</v>
      </c>
      <c r="AD1029" s="31">
        <v>0</v>
      </c>
      <c r="AE1029" s="31">
        <v>0</v>
      </c>
      <c r="AF1029" s="34" t="s">
        <v>274</v>
      </c>
      <c r="AG1029" s="34">
        <v>2022</v>
      </c>
      <c r="AH1029" s="35" t="s">
        <v>274</v>
      </c>
      <c r="AT1029" s="20" t="e">
        <f t="shared" si="428"/>
        <v>#N/A</v>
      </c>
    </row>
    <row r="1030" spans="1:46" ht="61.5" x14ac:dyDescent="0.85">
      <c r="B1030" s="24" t="s">
        <v>824</v>
      </c>
      <c r="C1030" s="24"/>
      <c r="D1030" s="31">
        <f>SUM(D1031:D1041)</f>
        <v>46315599.309999995</v>
      </c>
      <c r="E1030" s="31">
        <f t="shared" ref="E1030:AE1030" si="436">SUM(E1031:E1041)</f>
        <v>0</v>
      </c>
      <c r="F1030" s="31">
        <f t="shared" si="436"/>
        <v>0</v>
      </c>
      <c r="G1030" s="31">
        <f t="shared" si="436"/>
        <v>0</v>
      </c>
      <c r="H1030" s="31">
        <f t="shared" si="436"/>
        <v>0</v>
      </c>
      <c r="I1030" s="31">
        <f t="shared" si="436"/>
        <v>0</v>
      </c>
      <c r="J1030" s="31">
        <f t="shared" si="436"/>
        <v>0</v>
      </c>
      <c r="K1030" s="33">
        <f t="shared" si="436"/>
        <v>4</v>
      </c>
      <c r="L1030" s="31">
        <f t="shared" si="436"/>
        <v>8452796.0600000005</v>
      </c>
      <c r="M1030" s="31">
        <f t="shared" si="436"/>
        <v>6707.5</v>
      </c>
      <c r="N1030" s="31">
        <f t="shared" si="436"/>
        <v>31477236.52</v>
      </c>
      <c r="O1030" s="31">
        <f t="shared" si="436"/>
        <v>0</v>
      </c>
      <c r="P1030" s="31">
        <f t="shared" si="436"/>
        <v>0</v>
      </c>
      <c r="Q1030" s="31">
        <f t="shared" si="436"/>
        <v>986</v>
      </c>
      <c r="R1030" s="31">
        <f t="shared" si="436"/>
        <v>5826017.9100000001</v>
      </c>
      <c r="S1030" s="31">
        <f t="shared" si="436"/>
        <v>0</v>
      </c>
      <c r="T1030" s="31">
        <f t="shared" si="436"/>
        <v>0</v>
      </c>
      <c r="U1030" s="31">
        <f t="shared" si="436"/>
        <v>0</v>
      </c>
      <c r="V1030" s="31">
        <f t="shared" si="436"/>
        <v>0</v>
      </c>
      <c r="W1030" s="31">
        <f t="shared" si="436"/>
        <v>0</v>
      </c>
      <c r="X1030" s="31">
        <f t="shared" si="436"/>
        <v>0</v>
      </c>
      <c r="Y1030" s="31">
        <f t="shared" si="436"/>
        <v>0</v>
      </c>
      <c r="Z1030" s="31">
        <f t="shared" si="436"/>
        <v>0</v>
      </c>
      <c r="AA1030" s="31">
        <f t="shared" si="436"/>
        <v>0</v>
      </c>
      <c r="AB1030" s="31">
        <f t="shared" si="436"/>
        <v>0</v>
      </c>
      <c r="AC1030" s="31">
        <f t="shared" si="436"/>
        <v>559548.82000000007</v>
      </c>
      <c r="AD1030" s="31">
        <f t="shared" si="436"/>
        <v>0</v>
      </c>
      <c r="AE1030" s="31">
        <f t="shared" si="436"/>
        <v>0</v>
      </c>
      <c r="AF1030" s="34" t="s">
        <v>794</v>
      </c>
      <c r="AG1030" s="34" t="s">
        <v>794</v>
      </c>
      <c r="AH1030" s="35" t="s">
        <v>794</v>
      </c>
      <c r="AT1030" s="20" t="e">
        <f t="shared" si="428"/>
        <v>#N/A</v>
      </c>
    </row>
    <row r="1031" spans="1:46" ht="61.5" x14ac:dyDescent="0.85">
      <c r="A1031" s="20">
        <v>1</v>
      </c>
      <c r="B1031" s="66">
        <f>SUBTOTAL(103,$A$929:A1031)</f>
        <v>100</v>
      </c>
      <c r="C1031" s="24" t="s">
        <v>825</v>
      </c>
      <c r="D1031" s="31">
        <f t="shared" ref="D1031:D1041" si="437">E1031+F1031+G1031+H1031+I1031+J1031+L1031+N1031+P1031+R1031+T1031+U1031+V1031+W1031+X1031+Y1031+Z1031+AA1031+AB1031+AC1031+AD1031+AE1031</f>
        <v>2532230.7999999998</v>
      </c>
      <c r="E1031" s="31">
        <v>0</v>
      </c>
      <c r="F1031" s="31">
        <v>0</v>
      </c>
      <c r="G1031" s="31">
        <v>0</v>
      </c>
      <c r="H1031" s="31">
        <v>0</v>
      </c>
      <c r="I1031" s="31">
        <v>0</v>
      </c>
      <c r="J1031" s="31">
        <v>0</v>
      </c>
      <c r="K1031" s="33">
        <v>0</v>
      </c>
      <c r="L1031" s="31">
        <v>0</v>
      </c>
      <c r="M1031" s="31">
        <v>506</v>
      </c>
      <c r="N1031" s="31">
        <v>2494808.67</v>
      </c>
      <c r="O1031" s="31">
        <v>0</v>
      </c>
      <c r="P1031" s="31">
        <v>0</v>
      </c>
      <c r="Q1031" s="31">
        <v>0</v>
      </c>
      <c r="R1031" s="31">
        <v>0</v>
      </c>
      <c r="S1031" s="31">
        <v>0</v>
      </c>
      <c r="T1031" s="31">
        <v>0</v>
      </c>
      <c r="U1031" s="31">
        <v>0</v>
      </c>
      <c r="V1031" s="31">
        <v>0</v>
      </c>
      <c r="W1031" s="31">
        <v>0</v>
      </c>
      <c r="X1031" s="31">
        <v>0</v>
      </c>
      <c r="Y1031" s="31">
        <v>0</v>
      </c>
      <c r="Z1031" s="31">
        <v>0</v>
      </c>
      <c r="AA1031" s="31">
        <v>0</v>
      </c>
      <c r="AB1031" s="31">
        <v>0</v>
      </c>
      <c r="AC1031" s="31">
        <f t="shared" ref="AC1031:AC1033" si="438">ROUND(N1031*1.5%,2)</f>
        <v>37422.129999999997</v>
      </c>
      <c r="AD1031" s="31">
        <v>0</v>
      </c>
      <c r="AE1031" s="31">
        <v>0</v>
      </c>
      <c r="AF1031" s="34" t="s">
        <v>274</v>
      </c>
      <c r="AG1031" s="34">
        <v>2022</v>
      </c>
      <c r="AH1031" s="35">
        <v>2022</v>
      </c>
      <c r="AT1031" s="20" t="e">
        <f t="shared" si="428"/>
        <v>#N/A</v>
      </c>
    </row>
    <row r="1032" spans="1:46" ht="61.5" x14ac:dyDescent="0.85">
      <c r="A1032" s="20">
        <v>1</v>
      </c>
      <c r="B1032" s="66">
        <f>SUBTOTAL(103,$A$929:A1032)</f>
        <v>101</v>
      </c>
      <c r="C1032" s="24" t="s">
        <v>826</v>
      </c>
      <c r="D1032" s="31">
        <f t="shared" si="437"/>
        <v>2386020.4</v>
      </c>
      <c r="E1032" s="31">
        <v>0</v>
      </c>
      <c r="F1032" s="31">
        <v>0</v>
      </c>
      <c r="G1032" s="31">
        <v>0</v>
      </c>
      <c r="H1032" s="31">
        <v>0</v>
      </c>
      <c r="I1032" s="31">
        <v>0</v>
      </c>
      <c r="J1032" s="31">
        <v>0</v>
      </c>
      <c r="K1032" s="33">
        <v>0</v>
      </c>
      <c r="L1032" s="31">
        <v>0</v>
      </c>
      <c r="M1032" s="31">
        <v>478</v>
      </c>
      <c r="N1032" s="31">
        <v>2350759.0099999998</v>
      </c>
      <c r="O1032" s="31">
        <v>0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  <c r="V1032" s="31">
        <v>0</v>
      </c>
      <c r="W1032" s="31">
        <v>0</v>
      </c>
      <c r="X1032" s="31">
        <v>0</v>
      </c>
      <c r="Y1032" s="31">
        <v>0</v>
      </c>
      <c r="Z1032" s="31">
        <v>0</v>
      </c>
      <c r="AA1032" s="31">
        <v>0</v>
      </c>
      <c r="AB1032" s="31">
        <v>0</v>
      </c>
      <c r="AC1032" s="31">
        <f t="shared" si="438"/>
        <v>35261.39</v>
      </c>
      <c r="AD1032" s="31">
        <v>0</v>
      </c>
      <c r="AE1032" s="31">
        <v>0</v>
      </c>
      <c r="AF1032" s="34" t="s">
        <v>274</v>
      </c>
      <c r="AG1032" s="34">
        <v>2022</v>
      </c>
      <c r="AH1032" s="35">
        <v>2022</v>
      </c>
      <c r="AT1032" s="20" t="e">
        <f t="shared" si="428"/>
        <v>#N/A</v>
      </c>
    </row>
    <row r="1033" spans="1:46" ht="61.5" x14ac:dyDescent="0.85">
      <c r="A1033" s="20">
        <v>1</v>
      </c>
      <c r="B1033" s="66">
        <f>SUBTOTAL(103,$A$929:A1033)</f>
        <v>102</v>
      </c>
      <c r="C1033" s="24" t="s">
        <v>1144</v>
      </c>
      <c r="D1033" s="31">
        <f t="shared" si="437"/>
        <v>3009600</v>
      </c>
      <c r="E1033" s="31">
        <v>0</v>
      </c>
      <c r="F1033" s="31">
        <v>0</v>
      </c>
      <c r="G1033" s="31">
        <v>0</v>
      </c>
      <c r="H1033" s="31">
        <v>0</v>
      </c>
      <c r="I1033" s="31">
        <v>0</v>
      </c>
      <c r="J1033" s="31">
        <v>0</v>
      </c>
      <c r="K1033" s="33">
        <v>0</v>
      </c>
      <c r="L1033" s="31">
        <v>0</v>
      </c>
      <c r="M1033" s="31">
        <v>627</v>
      </c>
      <c r="N1033" s="31">
        <v>2965123.15</v>
      </c>
      <c r="O1033" s="31">
        <v>0</v>
      </c>
      <c r="P1033" s="31">
        <v>0</v>
      </c>
      <c r="Q1033" s="31">
        <v>0</v>
      </c>
      <c r="R1033" s="31">
        <v>0</v>
      </c>
      <c r="S1033" s="31">
        <v>0</v>
      </c>
      <c r="T1033" s="31">
        <v>0</v>
      </c>
      <c r="U1033" s="31">
        <v>0</v>
      </c>
      <c r="V1033" s="31">
        <v>0</v>
      </c>
      <c r="W1033" s="31">
        <v>0</v>
      </c>
      <c r="X1033" s="31">
        <v>0</v>
      </c>
      <c r="Y1033" s="31">
        <v>0</v>
      </c>
      <c r="Z1033" s="31">
        <v>0</v>
      </c>
      <c r="AA1033" s="31">
        <v>0</v>
      </c>
      <c r="AB1033" s="31">
        <v>0</v>
      </c>
      <c r="AC1033" s="31">
        <f t="shared" si="438"/>
        <v>44476.85</v>
      </c>
      <c r="AD1033" s="31">
        <v>0</v>
      </c>
      <c r="AE1033" s="31">
        <v>0</v>
      </c>
      <c r="AF1033" s="34" t="s">
        <v>274</v>
      </c>
      <c r="AG1033" s="34">
        <v>2022</v>
      </c>
      <c r="AH1033" s="35">
        <v>2022</v>
      </c>
      <c r="AT1033" s="20" t="e">
        <f t="shared" si="428"/>
        <v>#N/A</v>
      </c>
    </row>
    <row r="1034" spans="1:46" ht="61.5" x14ac:dyDescent="0.85">
      <c r="A1034" s="20">
        <v>1</v>
      </c>
      <c r="B1034" s="66">
        <f>SUBTOTAL(103,$A$929:A1034)</f>
        <v>103</v>
      </c>
      <c r="C1034" s="24" t="s">
        <v>828</v>
      </c>
      <c r="D1034" s="31">
        <f t="shared" si="437"/>
        <v>8452796.0600000005</v>
      </c>
      <c r="E1034" s="31">
        <v>0</v>
      </c>
      <c r="F1034" s="31">
        <v>0</v>
      </c>
      <c r="G1034" s="31">
        <v>0</v>
      </c>
      <c r="H1034" s="31">
        <v>0</v>
      </c>
      <c r="I1034" s="31">
        <v>0</v>
      </c>
      <c r="J1034" s="31">
        <v>0</v>
      </c>
      <c r="K1034" s="33">
        <v>4</v>
      </c>
      <c r="L1034" s="31">
        <v>8452796.0600000005</v>
      </c>
      <c r="M1034" s="31">
        <v>0</v>
      </c>
      <c r="N1034" s="31">
        <v>0</v>
      </c>
      <c r="O1034" s="31">
        <v>0</v>
      </c>
      <c r="P1034" s="31">
        <v>0</v>
      </c>
      <c r="Q1034" s="31">
        <v>0</v>
      </c>
      <c r="R1034" s="31">
        <v>0</v>
      </c>
      <c r="S1034" s="31">
        <v>0</v>
      </c>
      <c r="T1034" s="31">
        <v>0</v>
      </c>
      <c r="U1034" s="31">
        <v>0</v>
      </c>
      <c r="V1034" s="31">
        <v>0</v>
      </c>
      <c r="W1034" s="31">
        <v>0</v>
      </c>
      <c r="X1034" s="31">
        <v>0</v>
      </c>
      <c r="Y1034" s="31">
        <v>0</v>
      </c>
      <c r="Z1034" s="31">
        <v>0</v>
      </c>
      <c r="AA1034" s="31">
        <v>0</v>
      </c>
      <c r="AB1034" s="31">
        <v>0</v>
      </c>
      <c r="AC1034" s="31">
        <v>0</v>
      </c>
      <c r="AD1034" s="31">
        <v>0</v>
      </c>
      <c r="AE1034" s="31">
        <v>0</v>
      </c>
      <c r="AF1034" s="34" t="s">
        <v>274</v>
      </c>
      <c r="AG1034" s="34">
        <v>2022</v>
      </c>
      <c r="AH1034" s="35" t="s">
        <v>274</v>
      </c>
      <c r="AT1034" s="20" t="e">
        <f t="shared" si="428"/>
        <v>#N/A</v>
      </c>
    </row>
    <row r="1035" spans="1:46" ht="61.5" x14ac:dyDescent="0.85">
      <c r="A1035" s="20">
        <v>1</v>
      </c>
      <c r="B1035" s="66">
        <f>SUBTOTAL(103,$A$929:A1035)</f>
        <v>104</v>
      </c>
      <c r="C1035" s="24" t="s">
        <v>830</v>
      </c>
      <c r="D1035" s="31">
        <f t="shared" si="437"/>
        <v>6961648</v>
      </c>
      <c r="E1035" s="31">
        <v>0</v>
      </c>
      <c r="F1035" s="31">
        <v>0</v>
      </c>
      <c r="G1035" s="31">
        <v>0</v>
      </c>
      <c r="H1035" s="31">
        <v>0</v>
      </c>
      <c r="I1035" s="31">
        <v>0</v>
      </c>
      <c r="J1035" s="31">
        <v>0</v>
      </c>
      <c r="K1035" s="33">
        <v>0</v>
      </c>
      <c r="L1035" s="31">
        <v>0</v>
      </c>
      <c r="M1035" s="31">
        <v>1360</v>
      </c>
      <c r="N1035" s="31">
        <v>6858766.5</v>
      </c>
      <c r="O1035" s="31">
        <v>0</v>
      </c>
      <c r="P1035" s="31">
        <v>0</v>
      </c>
      <c r="Q1035" s="31">
        <v>0</v>
      </c>
      <c r="R1035" s="31">
        <v>0</v>
      </c>
      <c r="S1035" s="31">
        <v>0</v>
      </c>
      <c r="T1035" s="31">
        <v>0</v>
      </c>
      <c r="U1035" s="31">
        <v>0</v>
      </c>
      <c r="V1035" s="31">
        <v>0</v>
      </c>
      <c r="W1035" s="31">
        <v>0</v>
      </c>
      <c r="X1035" s="31">
        <v>0</v>
      </c>
      <c r="Y1035" s="31">
        <v>0</v>
      </c>
      <c r="Z1035" s="31">
        <v>0</v>
      </c>
      <c r="AA1035" s="31">
        <v>0</v>
      </c>
      <c r="AB1035" s="31">
        <v>0</v>
      </c>
      <c r="AC1035" s="31">
        <f t="shared" ref="AC1035:AC1037" si="439">ROUND(N1035*1.5%,2)</f>
        <v>102881.5</v>
      </c>
      <c r="AD1035" s="31">
        <v>0</v>
      </c>
      <c r="AE1035" s="31">
        <v>0</v>
      </c>
      <c r="AF1035" s="34" t="s">
        <v>274</v>
      </c>
      <c r="AG1035" s="34">
        <v>2022</v>
      </c>
      <c r="AH1035" s="35">
        <v>2022</v>
      </c>
      <c r="AT1035" s="20">
        <f t="shared" si="428"/>
        <v>1</v>
      </c>
    </row>
    <row r="1036" spans="1:46" ht="61.5" x14ac:dyDescent="0.85">
      <c r="A1036" s="20">
        <v>1</v>
      </c>
      <c r="B1036" s="66">
        <f>SUBTOTAL(103,$A$929:A1036)</f>
        <v>105</v>
      </c>
      <c r="C1036" s="24" t="s">
        <v>831</v>
      </c>
      <c r="D1036" s="31">
        <f t="shared" si="437"/>
        <v>3278948.1999999997</v>
      </c>
      <c r="E1036" s="31">
        <v>0</v>
      </c>
      <c r="F1036" s="31">
        <v>0</v>
      </c>
      <c r="G1036" s="31">
        <v>0</v>
      </c>
      <c r="H1036" s="31">
        <v>0</v>
      </c>
      <c r="I1036" s="31">
        <v>0</v>
      </c>
      <c r="J1036" s="31">
        <v>0</v>
      </c>
      <c r="K1036" s="33">
        <v>0</v>
      </c>
      <c r="L1036" s="31">
        <v>0</v>
      </c>
      <c r="M1036" s="31">
        <v>649</v>
      </c>
      <c r="N1036" s="31">
        <v>3230490.84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  <c r="V1036" s="31">
        <v>0</v>
      </c>
      <c r="W1036" s="31">
        <v>0</v>
      </c>
      <c r="X1036" s="31">
        <v>0</v>
      </c>
      <c r="Y1036" s="31">
        <v>0</v>
      </c>
      <c r="Z1036" s="31">
        <v>0</v>
      </c>
      <c r="AA1036" s="31">
        <v>0</v>
      </c>
      <c r="AB1036" s="31">
        <v>0</v>
      </c>
      <c r="AC1036" s="31">
        <f t="shared" si="439"/>
        <v>48457.36</v>
      </c>
      <c r="AD1036" s="31">
        <v>0</v>
      </c>
      <c r="AE1036" s="31">
        <v>0</v>
      </c>
      <c r="AF1036" s="34" t="s">
        <v>274</v>
      </c>
      <c r="AG1036" s="34">
        <v>2022</v>
      </c>
      <c r="AH1036" s="35">
        <v>2022</v>
      </c>
      <c r="AT1036" s="20" t="e">
        <f t="shared" si="428"/>
        <v>#N/A</v>
      </c>
    </row>
    <row r="1037" spans="1:46" ht="61.5" x14ac:dyDescent="0.85">
      <c r="A1037" s="20">
        <v>1</v>
      </c>
      <c r="B1037" s="66">
        <f>SUBTOTAL(103,$A$929:A1037)</f>
        <v>106</v>
      </c>
      <c r="C1037" s="24" t="s">
        <v>832</v>
      </c>
      <c r="D1037" s="31">
        <f t="shared" si="437"/>
        <v>3336388</v>
      </c>
      <c r="E1037" s="31">
        <v>0</v>
      </c>
      <c r="F1037" s="31">
        <v>0</v>
      </c>
      <c r="G1037" s="31">
        <v>0</v>
      </c>
      <c r="H1037" s="31">
        <v>0</v>
      </c>
      <c r="I1037" s="31">
        <v>0</v>
      </c>
      <c r="J1037" s="31">
        <v>0</v>
      </c>
      <c r="K1037" s="33">
        <v>0</v>
      </c>
      <c r="L1037" s="31">
        <v>0</v>
      </c>
      <c r="M1037" s="31">
        <v>660</v>
      </c>
      <c r="N1037" s="31">
        <v>3287081.77</v>
      </c>
      <c r="O1037" s="31">
        <v>0</v>
      </c>
      <c r="P1037" s="31">
        <v>0</v>
      </c>
      <c r="Q1037" s="31">
        <v>0</v>
      </c>
      <c r="R1037" s="31">
        <v>0</v>
      </c>
      <c r="S1037" s="31">
        <v>0</v>
      </c>
      <c r="T1037" s="31">
        <v>0</v>
      </c>
      <c r="U1037" s="31">
        <v>0</v>
      </c>
      <c r="V1037" s="31">
        <v>0</v>
      </c>
      <c r="W1037" s="31">
        <v>0</v>
      </c>
      <c r="X1037" s="31">
        <v>0</v>
      </c>
      <c r="Y1037" s="31">
        <v>0</v>
      </c>
      <c r="Z1037" s="31">
        <v>0</v>
      </c>
      <c r="AA1037" s="31">
        <v>0</v>
      </c>
      <c r="AB1037" s="31">
        <v>0</v>
      </c>
      <c r="AC1037" s="31">
        <f t="shared" si="439"/>
        <v>49306.23</v>
      </c>
      <c r="AD1037" s="31">
        <v>0</v>
      </c>
      <c r="AE1037" s="31">
        <v>0</v>
      </c>
      <c r="AF1037" s="34" t="s">
        <v>274</v>
      </c>
      <c r="AG1037" s="34">
        <v>2022</v>
      </c>
      <c r="AH1037" s="35">
        <v>2022</v>
      </c>
      <c r="AT1037" s="20" t="e">
        <f t="shared" si="428"/>
        <v>#N/A</v>
      </c>
    </row>
    <row r="1038" spans="1:46" ht="61.5" x14ac:dyDescent="0.85">
      <c r="A1038" s="20">
        <v>1</v>
      </c>
      <c r="B1038" s="66">
        <f>SUBTOTAL(103,$A$929:A1038)</f>
        <v>107</v>
      </c>
      <c r="C1038" s="24" t="s">
        <v>833</v>
      </c>
      <c r="D1038" s="31">
        <f t="shared" si="437"/>
        <v>4001516.58</v>
      </c>
      <c r="E1038" s="31">
        <v>0</v>
      </c>
      <c r="F1038" s="31">
        <v>0</v>
      </c>
      <c r="G1038" s="31">
        <v>0</v>
      </c>
      <c r="H1038" s="31">
        <v>0</v>
      </c>
      <c r="I1038" s="31">
        <v>0</v>
      </c>
      <c r="J1038" s="31">
        <v>0</v>
      </c>
      <c r="K1038" s="33">
        <v>0</v>
      </c>
      <c r="L1038" s="31">
        <v>0</v>
      </c>
      <c r="M1038" s="31">
        <v>0</v>
      </c>
      <c r="N1038" s="31">
        <v>0</v>
      </c>
      <c r="O1038" s="31">
        <v>0</v>
      </c>
      <c r="P1038" s="31">
        <v>0</v>
      </c>
      <c r="Q1038" s="31">
        <v>626</v>
      </c>
      <c r="R1038" s="31">
        <f>4052571.21-110190.34</f>
        <v>3942380.87</v>
      </c>
      <c r="S1038" s="31">
        <v>0</v>
      </c>
      <c r="T1038" s="31">
        <v>0</v>
      </c>
      <c r="U1038" s="31">
        <v>0</v>
      </c>
      <c r="V1038" s="31">
        <v>0</v>
      </c>
      <c r="W1038" s="31">
        <v>0</v>
      </c>
      <c r="X1038" s="31">
        <v>0</v>
      </c>
      <c r="Y1038" s="31">
        <v>0</v>
      </c>
      <c r="Z1038" s="31">
        <v>0</v>
      </c>
      <c r="AA1038" s="31">
        <v>0</v>
      </c>
      <c r="AB1038" s="31">
        <v>0</v>
      </c>
      <c r="AC1038" s="31">
        <f t="shared" ref="AC1038" si="440">ROUND(R1038*1.5%,2)</f>
        <v>59135.71</v>
      </c>
      <c r="AD1038" s="31">
        <v>0</v>
      </c>
      <c r="AE1038" s="31">
        <v>0</v>
      </c>
      <c r="AF1038" s="34" t="s">
        <v>274</v>
      </c>
      <c r="AG1038" s="34">
        <v>2022</v>
      </c>
      <c r="AH1038" s="35">
        <v>2022</v>
      </c>
      <c r="AT1038" s="20" t="e">
        <f t="shared" si="428"/>
        <v>#N/A</v>
      </c>
    </row>
    <row r="1039" spans="1:46" ht="61.5" x14ac:dyDescent="0.85">
      <c r="A1039" s="20">
        <v>1</v>
      </c>
      <c r="B1039" s="66">
        <f>SUBTOTAL(103,$A$929:A1039)</f>
        <v>108</v>
      </c>
      <c r="C1039" s="24" t="s">
        <v>834</v>
      </c>
      <c r="D1039" s="31">
        <f t="shared" si="437"/>
        <v>8460275.6699999981</v>
      </c>
      <c r="E1039" s="31">
        <v>0</v>
      </c>
      <c r="F1039" s="31">
        <v>0</v>
      </c>
      <c r="G1039" s="31">
        <v>0</v>
      </c>
      <c r="H1039" s="31">
        <v>0</v>
      </c>
      <c r="I1039" s="31">
        <v>0</v>
      </c>
      <c r="J1039" s="31">
        <v>0</v>
      </c>
      <c r="K1039" s="33">
        <v>0</v>
      </c>
      <c r="L1039" s="31">
        <v>0</v>
      </c>
      <c r="M1039" s="31">
        <v>2047.5</v>
      </c>
      <c r="N1039" s="31">
        <f>10533631.03-3411405.54+1213021.48</f>
        <v>8335246.9699999988</v>
      </c>
      <c r="O1039" s="31">
        <v>0</v>
      </c>
      <c r="P1039" s="31">
        <v>0</v>
      </c>
      <c r="Q1039" s="31">
        <v>0</v>
      </c>
      <c r="R1039" s="31">
        <v>0</v>
      </c>
      <c r="S1039" s="31">
        <v>0</v>
      </c>
      <c r="T1039" s="31">
        <v>0</v>
      </c>
      <c r="U1039" s="31">
        <v>0</v>
      </c>
      <c r="V1039" s="31">
        <v>0</v>
      </c>
      <c r="W1039" s="31">
        <v>0</v>
      </c>
      <c r="X1039" s="31">
        <v>0</v>
      </c>
      <c r="Y1039" s="31">
        <v>0</v>
      </c>
      <c r="Z1039" s="31">
        <v>0</v>
      </c>
      <c r="AA1039" s="31">
        <v>0</v>
      </c>
      <c r="AB1039" s="31">
        <v>0</v>
      </c>
      <c r="AC1039" s="31">
        <f>ROUND(N1039*1.5%,2)</f>
        <v>125028.7</v>
      </c>
      <c r="AD1039" s="31">
        <v>0</v>
      </c>
      <c r="AE1039" s="31">
        <v>0</v>
      </c>
      <c r="AF1039" s="34" t="s">
        <v>274</v>
      </c>
      <c r="AG1039" s="34">
        <v>2022</v>
      </c>
      <c r="AH1039" s="35">
        <v>2022</v>
      </c>
      <c r="AT1039" s="20" t="e">
        <f t="shared" si="428"/>
        <v>#N/A</v>
      </c>
    </row>
    <row r="1040" spans="1:46" ht="61.5" x14ac:dyDescent="0.85">
      <c r="A1040" s="20">
        <v>1</v>
      </c>
      <c r="B1040" s="66">
        <f>SUBTOTAL(103,$A$929:A1040)</f>
        <v>109</v>
      </c>
      <c r="C1040" s="24" t="s">
        <v>856</v>
      </c>
      <c r="D1040" s="31">
        <f t="shared" si="437"/>
        <v>1911891.6</v>
      </c>
      <c r="E1040" s="31">
        <v>0</v>
      </c>
      <c r="F1040" s="31">
        <v>0</v>
      </c>
      <c r="G1040" s="31">
        <v>0</v>
      </c>
      <c r="H1040" s="31">
        <v>0</v>
      </c>
      <c r="I1040" s="31">
        <v>0</v>
      </c>
      <c r="J1040" s="31">
        <v>0</v>
      </c>
      <c r="K1040" s="33">
        <v>0</v>
      </c>
      <c r="L1040" s="31">
        <v>0</v>
      </c>
      <c r="M1040" s="31">
        <v>0</v>
      </c>
      <c r="N1040" s="31">
        <v>0</v>
      </c>
      <c r="O1040" s="31">
        <v>0</v>
      </c>
      <c r="P1040" s="31">
        <v>0</v>
      </c>
      <c r="Q1040" s="31">
        <v>360</v>
      </c>
      <c r="R1040" s="31">
        <v>1883637.04</v>
      </c>
      <c r="S1040" s="31">
        <v>0</v>
      </c>
      <c r="T1040" s="31">
        <v>0</v>
      </c>
      <c r="U1040" s="31">
        <v>0</v>
      </c>
      <c r="V1040" s="31">
        <v>0</v>
      </c>
      <c r="W1040" s="31">
        <v>0</v>
      </c>
      <c r="X1040" s="31">
        <v>0</v>
      </c>
      <c r="Y1040" s="31">
        <v>0</v>
      </c>
      <c r="Z1040" s="31">
        <v>0</v>
      </c>
      <c r="AA1040" s="31">
        <v>0</v>
      </c>
      <c r="AB1040" s="31">
        <v>0</v>
      </c>
      <c r="AC1040" s="31">
        <f>ROUND(R1040*1.5%,2)</f>
        <v>28254.560000000001</v>
      </c>
      <c r="AD1040" s="31">
        <v>0</v>
      </c>
      <c r="AE1040" s="31">
        <v>0</v>
      </c>
      <c r="AF1040" s="34" t="s">
        <v>274</v>
      </c>
      <c r="AG1040" s="34">
        <v>2022</v>
      </c>
      <c r="AH1040" s="35">
        <v>2022</v>
      </c>
      <c r="AT1040" s="20">
        <f t="shared" si="428"/>
        <v>1</v>
      </c>
    </row>
    <row r="1041" spans="1:46" ht="61.5" x14ac:dyDescent="0.85">
      <c r="A1041" s="20">
        <v>1</v>
      </c>
      <c r="B1041" s="66">
        <f>SUBTOTAL(103,$A$929:A1041)</f>
        <v>110</v>
      </c>
      <c r="C1041" s="24" t="s">
        <v>1703</v>
      </c>
      <c r="D1041" s="31">
        <f t="shared" si="437"/>
        <v>1984284</v>
      </c>
      <c r="E1041" s="31">
        <v>0</v>
      </c>
      <c r="F1041" s="31">
        <v>0</v>
      </c>
      <c r="G1041" s="31">
        <v>0</v>
      </c>
      <c r="H1041" s="31">
        <v>0</v>
      </c>
      <c r="I1041" s="31">
        <v>0</v>
      </c>
      <c r="J1041" s="31">
        <v>0</v>
      </c>
      <c r="K1041" s="33">
        <v>0</v>
      </c>
      <c r="L1041" s="31">
        <v>0</v>
      </c>
      <c r="M1041" s="31">
        <v>380</v>
      </c>
      <c r="N1041" s="31">
        <v>1954959.61</v>
      </c>
      <c r="O1041" s="31">
        <v>0</v>
      </c>
      <c r="P1041" s="31">
        <v>0</v>
      </c>
      <c r="Q1041" s="31">
        <v>0</v>
      </c>
      <c r="R1041" s="31">
        <v>0</v>
      </c>
      <c r="S1041" s="31">
        <v>0</v>
      </c>
      <c r="T1041" s="31">
        <v>0</v>
      </c>
      <c r="U1041" s="31">
        <v>0</v>
      </c>
      <c r="V1041" s="31">
        <v>0</v>
      </c>
      <c r="W1041" s="31">
        <v>0</v>
      </c>
      <c r="X1041" s="31">
        <v>0</v>
      </c>
      <c r="Y1041" s="31">
        <v>0</v>
      </c>
      <c r="Z1041" s="31">
        <v>0</v>
      </c>
      <c r="AA1041" s="31">
        <v>0</v>
      </c>
      <c r="AB1041" s="31">
        <v>0</v>
      </c>
      <c r="AC1041" s="31">
        <f>ROUND(N1041*1.5%,2)</f>
        <v>29324.39</v>
      </c>
      <c r="AD1041" s="31">
        <v>0</v>
      </c>
      <c r="AE1041" s="31"/>
      <c r="AF1041" s="34" t="s">
        <v>274</v>
      </c>
      <c r="AG1041" s="34">
        <v>2022</v>
      </c>
      <c r="AH1041" s="35">
        <v>2022</v>
      </c>
    </row>
    <row r="1042" spans="1:46" ht="61.5" x14ac:dyDescent="0.85">
      <c r="B1042" s="24" t="s">
        <v>801</v>
      </c>
      <c r="C1042" s="117"/>
      <c r="D1042" s="31">
        <f>SUM(D1043:D1044)</f>
        <v>21856214.649999999</v>
      </c>
      <c r="E1042" s="31">
        <f t="shared" ref="E1042:AE1042" si="441">SUM(E1043:E1044)</f>
        <v>564251.4</v>
      </c>
      <c r="F1042" s="31">
        <f t="shared" si="441"/>
        <v>1368969.5</v>
      </c>
      <c r="G1042" s="31">
        <f t="shared" si="441"/>
        <v>1773880.4000000001</v>
      </c>
      <c r="H1042" s="31">
        <f t="shared" si="441"/>
        <v>1005360.8</v>
      </c>
      <c r="I1042" s="31">
        <f t="shared" si="441"/>
        <v>2430648.5</v>
      </c>
      <c r="J1042" s="31">
        <f t="shared" si="441"/>
        <v>0</v>
      </c>
      <c r="K1042" s="33">
        <f t="shared" si="441"/>
        <v>0</v>
      </c>
      <c r="L1042" s="31">
        <f t="shared" si="441"/>
        <v>0</v>
      </c>
      <c r="M1042" s="31">
        <f t="shared" si="441"/>
        <v>0</v>
      </c>
      <c r="N1042" s="31">
        <f t="shared" si="441"/>
        <v>0</v>
      </c>
      <c r="O1042" s="31">
        <f t="shared" si="441"/>
        <v>0</v>
      </c>
      <c r="P1042" s="31">
        <f t="shared" si="441"/>
        <v>0</v>
      </c>
      <c r="Q1042" s="31">
        <f t="shared" si="441"/>
        <v>7025.9</v>
      </c>
      <c r="R1042" s="31">
        <f t="shared" si="441"/>
        <v>13897494.970000001</v>
      </c>
      <c r="S1042" s="31">
        <f t="shared" si="441"/>
        <v>0</v>
      </c>
      <c r="T1042" s="31">
        <f t="shared" si="441"/>
        <v>0</v>
      </c>
      <c r="U1042" s="31">
        <f t="shared" si="441"/>
        <v>0</v>
      </c>
      <c r="V1042" s="31">
        <f t="shared" si="441"/>
        <v>0</v>
      </c>
      <c r="W1042" s="31">
        <f t="shared" si="441"/>
        <v>0</v>
      </c>
      <c r="X1042" s="31">
        <f t="shared" si="441"/>
        <v>0</v>
      </c>
      <c r="Y1042" s="31">
        <f t="shared" si="441"/>
        <v>0</v>
      </c>
      <c r="Z1042" s="31">
        <f t="shared" si="441"/>
        <v>0</v>
      </c>
      <c r="AA1042" s="31">
        <f t="shared" si="441"/>
        <v>0</v>
      </c>
      <c r="AB1042" s="31">
        <f t="shared" si="441"/>
        <v>0</v>
      </c>
      <c r="AC1042" s="31">
        <f t="shared" si="441"/>
        <v>315609.08</v>
      </c>
      <c r="AD1042" s="31">
        <f t="shared" si="441"/>
        <v>500000</v>
      </c>
      <c r="AE1042" s="31">
        <f t="shared" si="441"/>
        <v>0</v>
      </c>
      <c r="AF1042" s="72" t="s">
        <v>794</v>
      </c>
      <c r="AG1042" s="72" t="s">
        <v>794</v>
      </c>
      <c r="AH1042" s="91" t="s">
        <v>794</v>
      </c>
      <c r="AT1042" s="20" t="e">
        <f t="shared" ref="AT1042:AT1055" si="442">VLOOKUP(C1042,AW:AX,2,FALSE)</f>
        <v>#N/A</v>
      </c>
    </row>
    <row r="1043" spans="1:46" ht="61.5" x14ac:dyDescent="0.85">
      <c r="A1043" s="20">
        <v>1</v>
      </c>
      <c r="B1043" s="66">
        <f>SUBTOTAL(103,$A$929:A1043)</f>
        <v>111</v>
      </c>
      <c r="C1043" s="24" t="s">
        <v>401</v>
      </c>
      <c r="D1043" s="31">
        <f t="shared" ref="D1043:D1044" si="443">E1043+F1043+G1043+H1043+I1043+J1043+L1043+N1043+P1043+R1043+T1043+U1043+V1043+W1043+X1043+Y1043+Z1043+AA1043+AB1043+AC1043+AD1043+AE1043</f>
        <v>7550257.2599999998</v>
      </c>
      <c r="E1043" s="31">
        <v>564251.4</v>
      </c>
      <c r="F1043" s="31">
        <v>1368969.5</v>
      </c>
      <c r="G1043" s="31">
        <v>1773880.4000000001</v>
      </c>
      <c r="H1043" s="31">
        <v>1005360.8</v>
      </c>
      <c r="I1043" s="31">
        <v>2430648.5</v>
      </c>
      <c r="J1043" s="31">
        <v>0</v>
      </c>
      <c r="K1043" s="33">
        <v>0</v>
      </c>
      <c r="L1043" s="31">
        <v>0</v>
      </c>
      <c r="M1043" s="31">
        <v>0</v>
      </c>
      <c r="N1043" s="31">
        <v>0</v>
      </c>
      <c r="O1043" s="31">
        <v>0</v>
      </c>
      <c r="P1043" s="31">
        <v>0</v>
      </c>
      <c r="Q1043" s="31">
        <v>0</v>
      </c>
      <c r="R1043" s="31">
        <v>0</v>
      </c>
      <c r="S1043" s="31">
        <v>0</v>
      </c>
      <c r="T1043" s="31">
        <v>0</v>
      </c>
      <c r="U1043" s="31">
        <v>0</v>
      </c>
      <c r="V1043" s="31">
        <v>0</v>
      </c>
      <c r="W1043" s="31">
        <v>0</v>
      </c>
      <c r="X1043" s="31">
        <v>0</v>
      </c>
      <c r="Y1043" s="31">
        <v>0</v>
      </c>
      <c r="Z1043" s="31">
        <v>0</v>
      </c>
      <c r="AA1043" s="31">
        <v>0</v>
      </c>
      <c r="AB1043" s="31">
        <v>0</v>
      </c>
      <c r="AC1043" s="31">
        <f t="shared" ref="AC1043" si="444">ROUND((E1043+F1043+G1043+H1043+I1043+J1043)*1.5%,2)</f>
        <v>107146.66</v>
      </c>
      <c r="AD1043" s="31">
        <v>300000</v>
      </c>
      <c r="AE1043" s="31">
        <v>0</v>
      </c>
      <c r="AF1043" s="34">
        <v>2022</v>
      </c>
      <c r="AG1043" s="34">
        <v>2022</v>
      </c>
      <c r="AH1043" s="35">
        <v>2022</v>
      </c>
      <c r="AT1043" s="20" t="e">
        <f t="shared" si="442"/>
        <v>#N/A</v>
      </c>
    </row>
    <row r="1044" spans="1:46" ht="61.5" x14ac:dyDescent="0.85">
      <c r="A1044" s="20">
        <v>1</v>
      </c>
      <c r="B1044" s="66">
        <f>SUBTOTAL(103,$A$929:A1044)</f>
        <v>112</v>
      </c>
      <c r="C1044" s="24" t="s">
        <v>402</v>
      </c>
      <c r="D1044" s="31">
        <f t="shared" si="443"/>
        <v>14305957.390000001</v>
      </c>
      <c r="E1044" s="31">
        <v>0</v>
      </c>
      <c r="F1044" s="31">
        <v>0</v>
      </c>
      <c r="G1044" s="31">
        <v>0</v>
      </c>
      <c r="H1044" s="31">
        <v>0</v>
      </c>
      <c r="I1044" s="31">
        <v>0</v>
      </c>
      <c r="J1044" s="31">
        <v>0</v>
      </c>
      <c r="K1044" s="33">
        <v>0</v>
      </c>
      <c r="L1044" s="31">
        <v>0</v>
      </c>
      <c r="M1044" s="31">
        <v>0</v>
      </c>
      <c r="N1044" s="31">
        <v>0</v>
      </c>
      <c r="O1044" s="31">
        <v>0</v>
      </c>
      <c r="P1044" s="31">
        <v>0</v>
      </c>
      <c r="Q1044" s="31">
        <v>7025.9</v>
      </c>
      <c r="R1044" s="31">
        <v>13897494.970000001</v>
      </c>
      <c r="S1044" s="31">
        <v>0</v>
      </c>
      <c r="T1044" s="31">
        <v>0</v>
      </c>
      <c r="U1044" s="31">
        <v>0</v>
      </c>
      <c r="V1044" s="31">
        <v>0</v>
      </c>
      <c r="W1044" s="31">
        <v>0</v>
      </c>
      <c r="X1044" s="31">
        <v>0</v>
      </c>
      <c r="Y1044" s="31">
        <v>0</v>
      </c>
      <c r="Z1044" s="31">
        <v>0</v>
      </c>
      <c r="AA1044" s="31">
        <v>0</v>
      </c>
      <c r="AB1044" s="31">
        <v>0</v>
      </c>
      <c r="AC1044" s="31">
        <f t="shared" ref="AC1044" si="445">ROUND(R1044*1.5%,2)</f>
        <v>208462.42</v>
      </c>
      <c r="AD1044" s="31">
        <v>200000</v>
      </c>
      <c r="AE1044" s="31">
        <v>0</v>
      </c>
      <c r="AF1044" s="34">
        <v>2022</v>
      </c>
      <c r="AG1044" s="34">
        <v>2022</v>
      </c>
      <c r="AH1044" s="35">
        <v>2022</v>
      </c>
      <c r="AT1044" s="20" t="e">
        <f t="shared" si="442"/>
        <v>#N/A</v>
      </c>
    </row>
    <row r="1045" spans="1:46" ht="61.5" x14ac:dyDescent="0.85">
      <c r="B1045" s="24" t="s">
        <v>858</v>
      </c>
      <c r="C1045" s="117"/>
      <c r="D1045" s="31">
        <f>SUM(D1046:D1053)</f>
        <v>51679396.32</v>
      </c>
      <c r="E1045" s="31">
        <f t="shared" ref="E1045:AE1045" si="446">SUM(E1046:E1053)</f>
        <v>0</v>
      </c>
      <c r="F1045" s="31">
        <f t="shared" si="446"/>
        <v>0</v>
      </c>
      <c r="G1045" s="31">
        <f t="shared" si="446"/>
        <v>0</v>
      </c>
      <c r="H1045" s="31">
        <f t="shared" si="446"/>
        <v>0</v>
      </c>
      <c r="I1045" s="31">
        <f t="shared" si="446"/>
        <v>0</v>
      </c>
      <c r="J1045" s="31">
        <f t="shared" si="446"/>
        <v>0</v>
      </c>
      <c r="K1045" s="33">
        <f t="shared" si="446"/>
        <v>0</v>
      </c>
      <c r="L1045" s="31">
        <f t="shared" si="446"/>
        <v>0</v>
      </c>
      <c r="M1045" s="31">
        <f t="shared" si="446"/>
        <v>8012.4</v>
      </c>
      <c r="N1045" s="31">
        <f t="shared" si="446"/>
        <v>38548714.689999998</v>
      </c>
      <c r="O1045" s="31">
        <f t="shared" si="446"/>
        <v>0</v>
      </c>
      <c r="P1045" s="31">
        <f t="shared" si="446"/>
        <v>0</v>
      </c>
      <c r="Q1045" s="31">
        <f t="shared" si="446"/>
        <v>1159.1199999999999</v>
      </c>
      <c r="R1045" s="31">
        <f t="shared" si="446"/>
        <v>4474917.3</v>
      </c>
      <c r="S1045" s="31">
        <f t="shared" si="446"/>
        <v>209</v>
      </c>
      <c r="T1045" s="31">
        <f t="shared" si="446"/>
        <v>6571832.3700000001</v>
      </c>
      <c r="U1045" s="31">
        <f t="shared" si="446"/>
        <v>0</v>
      </c>
      <c r="V1045" s="31">
        <f t="shared" si="446"/>
        <v>0</v>
      </c>
      <c r="W1045" s="31">
        <f t="shared" si="446"/>
        <v>0</v>
      </c>
      <c r="X1045" s="31">
        <f t="shared" si="446"/>
        <v>0</v>
      </c>
      <c r="Y1045" s="31">
        <f t="shared" si="446"/>
        <v>0</v>
      </c>
      <c r="Z1045" s="31">
        <f t="shared" si="446"/>
        <v>0</v>
      </c>
      <c r="AA1045" s="31">
        <f t="shared" si="446"/>
        <v>0</v>
      </c>
      <c r="AB1045" s="31">
        <f t="shared" si="446"/>
        <v>0</v>
      </c>
      <c r="AC1045" s="31">
        <f t="shared" si="446"/>
        <v>743931.95999999985</v>
      </c>
      <c r="AD1045" s="31">
        <f t="shared" si="446"/>
        <v>1340000</v>
      </c>
      <c r="AE1045" s="31">
        <f t="shared" si="446"/>
        <v>0</v>
      </c>
      <c r="AF1045" s="72" t="s">
        <v>794</v>
      </c>
      <c r="AG1045" s="72" t="s">
        <v>794</v>
      </c>
      <c r="AH1045" s="91" t="s">
        <v>794</v>
      </c>
      <c r="AT1045" s="20" t="e">
        <f t="shared" si="442"/>
        <v>#N/A</v>
      </c>
    </row>
    <row r="1046" spans="1:46" ht="61.5" x14ac:dyDescent="0.85">
      <c r="A1046" s="20">
        <v>1</v>
      </c>
      <c r="B1046" s="66">
        <f>SUBTOTAL(103,$A$929:A1046)</f>
        <v>113</v>
      </c>
      <c r="C1046" s="24" t="s">
        <v>646</v>
      </c>
      <c r="D1046" s="31">
        <f t="shared" ref="D1046:D1053" si="447">E1046+F1046+G1046+H1046+I1046+J1046+L1046+N1046+P1046+R1046+T1046+U1046+V1046+W1046+X1046+Y1046+Z1046+AA1046+AB1046+AC1046+AD1046+AE1046</f>
        <v>5121801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0</v>
      </c>
      <c r="K1046" s="87">
        <v>0</v>
      </c>
      <c r="L1046" s="38">
        <v>0</v>
      </c>
      <c r="M1046" s="31">
        <v>981</v>
      </c>
      <c r="N1046" s="31">
        <v>4898326.1100000003</v>
      </c>
      <c r="O1046" s="31">
        <v>0</v>
      </c>
      <c r="P1046" s="31">
        <v>0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1">
        <v>0</v>
      </c>
      <c r="Y1046" s="31">
        <v>0</v>
      </c>
      <c r="Z1046" s="31">
        <v>0</v>
      </c>
      <c r="AA1046" s="31">
        <v>0</v>
      </c>
      <c r="AB1046" s="31">
        <v>0</v>
      </c>
      <c r="AC1046" s="31">
        <f t="shared" ref="AC1046:AC1047" si="448">ROUND(N1046*1.5%,2)</f>
        <v>73474.89</v>
      </c>
      <c r="AD1046" s="31">
        <v>150000</v>
      </c>
      <c r="AE1046" s="31">
        <v>0</v>
      </c>
      <c r="AF1046" s="34">
        <v>2022</v>
      </c>
      <c r="AG1046" s="34">
        <v>2022</v>
      </c>
      <c r="AH1046" s="35">
        <v>2022</v>
      </c>
      <c r="AT1046" s="20" t="e">
        <f t="shared" si="442"/>
        <v>#N/A</v>
      </c>
    </row>
    <row r="1047" spans="1:46" ht="61.5" x14ac:dyDescent="0.85">
      <c r="A1047" s="20">
        <v>1</v>
      </c>
      <c r="B1047" s="66">
        <f>SUBTOTAL(103,$A$929:A1047)</f>
        <v>114</v>
      </c>
      <c r="C1047" s="24" t="s">
        <v>647</v>
      </c>
      <c r="D1047" s="31">
        <f t="shared" si="447"/>
        <v>8124000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0</v>
      </c>
      <c r="K1047" s="87">
        <v>0</v>
      </c>
      <c r="L1047" s="38">
        <v>0</v>
      </c>
      <c r="M1047" s="31">
        <v>1692.5</v>
      </c>
      <c r="N1047" s="31">
        <v>7826600.9900000002</v>
      </c>
      <c r="O1047" s="31">
        <v>0</v>
      </c>
      <c r="P1047" s="31">
        <v>0</v>
      </c>
      <c r="Q1047" s="31">
        <v>0</v>
      </c>
      <c r="R1047" s="31">
        <v>0</v>
      </c>
      <c r="S1047" s="31">
        <v>0</v>
      </c>
      <c r="T1047" s="31">
        <v>0</v>
      </c>
      <c r="U1047" s="31">
        <v>0</v>
      </c>
      <c r="V1047" s="31">
        <v>0</v>
      </c>
      <c r="W1047" s="31">
        <v>0</v>
      </c>
      <c r="X1047" s="31">
        <v>0</v>
      </c>
      <c r="Y1047" s="31">
        <v>0</v>
      </c>
      <c r="Z1047" s="31">
        <v>0</v>
      </c>
      <c r="AA1047" s="31">
        <v>0</v>
      </c>
      <c r="AB1047" s="31">
        <v>0</v>
      </c>
      <c r="AC1047" s="31">
        <f t="shared" si="448"/>
        <v>117399.01</v>
      </c>
      <c r="AD1047" s="31">
        <v>180000</v>
      </c>
      <c r="AE1047" s="31">
        <v>0</v>
      </c>
      <c r="AF1047" s="34">
        <v>2022</v>
      </c>
      <c r="AG1047" s="34">
        <v>2022</v>
      </c>
      <c r="AH1047" s="35">
        <v>2022</v>
      </c>
      <c r="AT1047" s="20" t="e">
        <f t="shared" si="442"/>
        <v>#N/A</v>
      </c>
    </row>
    <row r="1048" spans="1:46" ht="61.5" x14ac:dyDescent="0.85">
      <c r="A1048" s="20">
        <v>1</v>
      </c>
      <c r="B1048" s="66">
        <f>SUBTOTAL(103,$A$929:A1048)</f>
        <v>115</v>
      </c>
      <c r="C1048" s="24" t="s">
        <v>653</v>
      </c>
      <c r="D1048" s="31">
        <f t="shared" si="447"/>
        <v>4742041.0599999996</v>
      </c>
      <c r="E1048" s="38">
        <v>0</v>
      </c>
      <c r="F1048" s="38">
        <v>0</v>
      </c>
      <c r="G1048" s="38">
        <v>0</v>
      </c>
      <c r="H1048" s="38">
        <v>0</v>
      </c>
      <c r="I1048" s="38">
        <v>0</v>
      </c>
      <c r="J1048" s="38">
        <v>0</v>
      </c>
      <c r="K1048" s="87">
        <v>0</v>
      </c>
      <c r="L1048" s="38">
        <v>0</v>
      </c>
      <c r="M1048" s="31">
        <v>0</v>
      </c>
      <c r="N1048" s="31">
        <v>0</v>
      </c>
      <c r="O1048" s="31">
        <v>0</v>
      </c>
      <c r="P1048" s="31">
        <v>0</v>
      </c>
      <c r="Q1048" s="31">
        <v>1159.1199999999999</v>
      </c>
      <c r="R1048" s="31">
        <v>4474917.3</v>
      </c>
      <c r="S1048" s="31">
        <v>0</v>
      </c>
      <c r="T1048" s="31">
        <v>0</v>
      </c>
      <c r="U1048" s="31">
        <v>0</v>
      </c>
      <c r="V1048" s="31">
        <v>0</v>
      </c>
      <c r="W1048" s="31">
        <v>0</v>
      </c>
      <c r="X1048" s="31">
        <v>0</v>
      </c>
      <c r="Y1048" s="31">
        <v>0</v>
      </c>
      <c r="Z1048" s="31">
        <v>0</v>
      </c>
      <c r="AA1048" s="31">
        <v>0</v>
      </c>
      <c r="AB1048" s="31">
        <v>0</v>
      </c>
      <c r="AC1048" s="31">
        <f t="shared" ref="AC1048" si="449">ROUND(R1048*1.5%,2)</f>
        <v>67123.759999999995</v>
      </c>
      <c r="AD1048" s="31">
        <v>200000</v>
      </c>
      <c r="AE1048" s="31">
        <v>0</v>
      </c>
      <c r="AF1048" s="34">
        <v>2022</v>
      </c>
      <c r="AG1048" s="34">
        <v>2022</v>
      </c>
      <c r="AH1048" s="35">
        <v>2022</v>
      </c>
      <c r="AT1048" s="20" t="e">
        <f t="shared" si="442"/>
        <v>#N/A</v>
      </c>
    </row>
    <row r="1049" spans="1:46" ht="61.5" x14ac:dyDescent="0.85">
      <c r="A1049" s="20">
        <v>1</v>
      </c>
      <c r="B1049" s="66">
        <f>SUBTOTAL(103,$A$929:A1049)</f>
        <v>116</v>
      </c>
      <c r="C1049" s="24" t="s">
        <v>651</v>
      </c>
      <c r="D1049" s="31">
        <f t="shared" si="447"/>
        <v>9052752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0</v>
      </c>
      <c r="K1049" s="87">
        <v>0</v>
      </c>
      <c r="L1049" s="38">
        <v>0</v>
      </c>
      <c r="M1049" s="31">
        <v>1812</v>
      </c>
      <c r="N1049" s="31">
        <v>8741627.5899999999</v>
      </c>
      <c r="O1049" s="31">
        <v>0</v>
      </c>
      <c r="P1049" s="31">
        <v>0</v>
      </c>
      <c r="Q1049" s="31">
        <v>0</v>
      </c>
      <c r="R1049" s="31">
        <v>0</v>
      </c>
      <c r="S1049" s="31">
        <v>0</v>
      </c>
      <c r="T1049" s="31">
        <v>0</v>
      </c>
      <c r="U1049" s="31">
        <v>0</v>
      </c>
      <c r="V1049" s="31">
        <v>0</v>
      </c>
      <c r="W1049" s="31">
        <v>0</v>
      </c>
      <c r="X1049" s="31">
        <v>0</v>
      </c>
      <c r="Y1049" s="31">
        <v>0</v>
      </c>
      <c r="Z1049" s="31">
        <v>0</v>
      </c>
      <c r="AA1049" s="31">
        <v>0</v>
      </c>
      <c r="AB1049" s="31">
        <v>0</v>
      </c>
      <c r="AC1049" s="31">
        <f>ROUND(N1049*1.5%,2)</f>
        <v>131124.41</v>
      </c>
      <c r="AD1049" s="31">
        <v>180000</v>
      </c>
      <c r="AE1049" s="31">
        <v>0</v>
      </c>
      <c r="AF1049" s="34">
        <v>2022</v>
      </c>
      <c r="AG1049" s="34">
        <v>2022</v>
      </c>
      <c r="AH1049" s="35">
        <v>2022</v>
      </c>
      <c r="AT1049" s="20" t="e">
        <f t="shared" si="442"/>
        <v>#N/A</v>
      </c>
    </row>
    <row r="1050" spans="1:46" ht="61.5" x14ac:dyDescent="0.85">
      <c r="A1050" s="20">
        <v>1</v>
      </c>
      <c r="B1050" s="66">
        <f>SUBTOTAL(103,$A$929:A1050)</f>
        <v>117</v>
      </c>
      <c r="C1050" s="24" t="s">
        <v>665</v>
      </c>
      <c r="D1050" s="31">
        <f t="shared" si="447"/>
        <v>6820409.8600000003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0</v>
      </c>
      <c r="K1050" s="87">
        <v>0</v>
      </c>
      <c r="L1050" s="38">
        <v>0</v>
      </c>
      <c r="M1050" s="31">
        <v>0</v>
      </c>
      <c r="N1050" s="31">
        <v>0</v>
      </c>
      <c r="O1050" s="31">
        <v>0</v>
      </c>
      <c r="P1050" s="31">
        <v>0</v>
      </c>
      <c r="Q1050" s="31">
        <v>0</v>
      </c>
      <c r="R1050" s="31">
        <v>0</v>
      </c>
      <c r="S1050" s="31">
        <v>209</v>
      </c>
      <c r="T1050" s="31">
        <v>6571832.3700000001</v>
      </c>
      <c r="U1050" s="31">
        <v>0</v>
      </c>
      <c r="V1050" s="31">
        <v>0</v>
      </c>
      <c r="W1050" s="31">
        <v>0</v>
      </c>
      <c r="X1050" s="31">
        <v>0</v>
      </c>
      <c r="Y1050" s="31">
        <v>0</v>
      </c>
      <c r="Z1050" s="31">
        <v>0</v>
      </c>
      <c r="AA1050" s="31">
        <v>0</v>
      </c>
      <c r="AB1050" s="31">
        <v>0</v>
      </c>
      <c r="AC1050" s="31">
        <f>ROUND(T1050*1.5%,2)</f>
        <v>98577.49</v>
      </c>
      <c r="AD1050" s="31">
        <v>150000</v>
      </c>
      <c r="AE1050" s="31">
        <v>0</v>
      </c>
      <c r="AF1050" s="34">
        <v>2022</v>
      </c>
      <c r="AG1050" s="34">
        <v>2022</v>
      </c>
      <c r="AH1050" s="35">
        <v>2022</v>
      </c>
      <c r="AT1050" s="20" t="e">
        <f t="shared" si="442"/>
        <v>#N/A</v>
      </c>
    </row>
    <row r="1051" spans="1:46" ht="61.5" x14ac:dyDescent="0.85">
      <c r="A1051" s="20">
        <v>1</v>
      </c>
      <c r="B1051" s="66">
        <f>SUBTOTAL(103,$A$929:A1051)</f>
        <v>118</v>
      </c>
      <c r="C1051" s="24" t="s">
        <v>669</v>
      </c>
      <c r="D1051" s="31">
        <f t="shared" si="447"/>
        <v>9102212.3999999985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0</v>
      </c>
      <c r="K1051" s="87">
        <v>0</v>
      </c>
      <c r="L1051" s="38">
        <v>0</v>
      </c>
      <c r="M1051" s="31">
        <v>1821.9</v>
      </c>
      <c r="N1051" s="31">
        <v>8790357.0399999991</v>
      </c>
      <c r="O1051" s="31">
        <v>0</v>
      </c>
      <c r="P1051" s="31">
        <v>0</v>
      </c>
      <c r="Q1051" s="31">
        <v>0</v>
      </c>
      <c r="R1051" s="31">
        <v>0</v>
      </c>
      <c r="S1051" s="31">
        <v>0</v>
      </c>
      <c r="T1051" s="31">
        <v>0</v>
      </c>
      <c r="U1051" s="31">
        <v>0</v>
      </c>
      <c r="V1051" s="31">
        <v>0</v>
      </c>
      <c r="W1051" s="31">
        <v>0</v>
      </c>
      <c r="X1051" s="31">
        <v>0</v>
      </c>
      <c r="Y1051" s="31">
        <v>0</v>
      </c>
      <c r="Z1051" s="31">
        <v>0</v>
      </c>
      <c r="AA1051" s="31">
        <v>0</v>
      </c>
      <c r="AB1051" s="31">
        <v>0</v>
      </c>
      <c r="AC1051" s="31">
        <f t="shared" ref="AC1051:AC1053" si="450">ROUND(N1051*1.5%,2)</f>
        <v>131855.35999999999</v>
      </c>
      <c r="AD1051" s="31">
        <v>180000</v>
      </c>
      <c r="AE1051" s="31">
        <v>0</v>
      </c>
      <c r="AF1051" s="34">
        <v>2022</v>
      </c>
      <c r="AG1051" s="34">
        <v>2022</v>
      </c>
      <c r="AH1051" s="35">
        <v>2022</v>
      </c>
      <c r="AT1051" s="20" t="e">
        <f t="shared" si="442"/>
        <v>#N/A</v>
      </c>
    </row>
    <row r="1052" spans="1:46" ht="61.5" x14ac:dyDescent="0.85">
      <c r="A1052" s="20">
        <v>1</v>
      </c>
      <c r="B1052" s="66">
        <f>SUBTOTAL(103,$A$929:A1052)</f>
        <v>119</v>
      </c>
      <c r="C1052" s="24" t="s">
        <v>673</v>
      </c>
      <c r="D1052" s="31">
        <f t="shared" si="447"/>
        <v>4594480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0</v>
      </c>
      <c r="K1052" s="87">
        <v>0</v>
      </c>
      <c r="L1052" s="38">
        <v>0</v>
      </c>
      <c r="M1052" s="31">
        <v>880</v>
      </c>
      <c r="N1052" s="31">
        <v>4378798.03</v>
      </c>
      <c r="O1052" s="31">
        <v>0</v>
      </c>
      <c r="P1052" s="31">
        <v>0</v>
      </c>
      <c r="Q1052" s="31">
        <v>0</v>
      </c>
      <c r="R1052" s="31">
        <v>0</v>
      </c>
      <c r="S1052" s="31">
        <v>0</v>
      </c>
      <c r="T1052" s="31">
        <v>0</v>
      </c>
      <c r="U1052" s="31">
        <v>0</v>
      </c>
      <c r="V1052" s="31">
        <v>0</v>
      </c>
      <c r="W1052" s="31">
        <v>0</v>
      </c>
      <c r="X1052" s="31">
        <v>0</v>
      </c>
      <c r="Y1052" s="31">
        <v>0</v>
      </c>
      <c r="Z1052" s="31">
        <v>0</v>
      </c>
      <c r="AA1052" s="31">
        <v>0</v>
      </c>
      <c r="AB1052" s="31">
        <v>0</v>
      </c>
      <c r="AC1052" s="31">
        <f t="shared" si="450"/>
        <v>65681.97</v>
      </c>
      <c r="AD1052" s="31">
        <v>150000</v>
      </c>
      <c r="AE1052" s="31">
        <v>0</v>
      </c>
      <c r="AF1052" s="34">
        <v>2022</v>
      </c>
      <c r="AG1052" s="34">
        <v>2022</v>
      </c>
      <c r="AH1052" s="35">
        <v>2022</v>
      </c>
      <c r="AT1052" s="20" t="e">
        <f t="shared" si="442"/>
        <v>#N/A</v>
      </c>
    </row>
    <row r="1053" spans="1:46" ht="61.5" x14ac:dyDescent="0.85">
      <c r="A1053" s="20">
        <v>1</v>
      </c>
      <c r="B1053" s="66">
        <f>SUBTOTAL(103,$A$929:A1053)</f>
        <v>120</v>
      </c>
      <c r="C1053" s="24" t="s">
        <v>672</v>
      </c>
      <c r="D1053" s="31">
        <f t="shared" si="447"/>
        <v>4121700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0</v>
      </c>
      <c r="K1053" s="87">
        <v>0</v>
      </c>
      <c r="L1053" s="38">
        <v>0</v>
      </c>
      <c r="M1053" s="31">
        <v>825</v>
      </c>
      <c r="N1053" s="31">
        <v>3913004.93</v>
      </c>
      <c r="O1053" s="31">
        <v>0</v>
      </c>
      <c r="P1053" s="31">
        <v>0</v>
      </c>
      <c r="Q1053" s="31">
        <v>0</v>
      </c>
      <c r="R1053" s="31">
        <v>0</v>
      </c>
      <c r="S1053" s="31">
        <v>0</v>
      </c>
      <c r="T1053" s="31">
        <v>0</v>
      </c>
      <c r="U1053" s="31">
        <v>0</v>
      </c>
      <c r="V1053" s="31">
        <v>0</v>
      </c>
      <c r="W1053" s="31">
        <v>0</v>
      </c>
      <c r="X1053" s="31">
        <v>0</v>
      </c>
      <c r="Y1053" s="31">
        <v>0</v>
      </c>
      <c r="Z1053" s="31">
        <v>0</v>
      </c>
      <c r="AA1053" s="31">
        <v>0</v>
      </c>
      <c r="AB1053" s="31">
        <v>0</v>
      </c>
      <c r="AC1053" s="31">
        <f t="shared" si="450"/>
        <v>58695.07</v>
      </c>
      <c r="AD1053" s="31">
        <v>150000</v>
      </c>
      <c r="AE1053" s="31">
        <v>0</v>
      </c>
      <c r="AF1053" s="34">
        <v>2022</v>
      </c>
      <c r="AG1053" s="34">
        <v>2022</v>
      </c>
      <c r="AH1053" s="35">
        <v>2022</v>
      </c>
      <c r="AT1053" s="20" t="e">
        <f t="shared" si="442"/>
        <v>#N/A</v>
      </c>
    </row>
    <row r="1054" spans="1:46" ht="61.5" x14ac:dyDescent="0.85">
      <c r="B1054" s="24" t="s">
        <v>859</v>
      </c>
      <c r="C1054" s="24"/>
      <c r="D1054" s="31">
        <f>SUM(D1055:D1057)</f>
        <v>9890638.1399999987</v>
      </c>
      <c r="E1054" s="31">
        <f t="shared" ref="E1054:AE1054" si="451">SUM(E1055:E1057)</f>
        <v>0</v>
      </c>
      <c r="F1054" s="31">
        <f t="shared" si="451"/>
        <v>0</v>
      </c>
      <c r="G1054" s="31">
        <f t="shared" si="451"/>
        <v>0</v>
      </c>
      <c r="H1054" s="31">
        <f t="shared" si="451"/>
        <v>0</v>
      </c>
      <c r="I1054" s="31">
        <f t="shared" si="451"/>
        <v>0</v>
      </c>
      <c r="J1054" s="31">
        <f t="shared" si="451"/>
        <v>0</v>
      </c>
      <c r="K1054" s="33">
        <f t="shared" si="451"/>
        <v>0</v>
      </c>
      <c r="L1054" s="31">
        <f t="shared" si="451"/>
        <v>0</v>
      </c>
      <c r="M1054" s="31">
        <f t="shared" si="451"/>
        <v>1978.7</v>
      </c>
      <c r="N1054" s="31">
        <f t="shared" si="451"/>
        <v>9350382.4000000004</v>
      </c>
      <c r="O1054" s="31">
        <f t="shared" si="451"/>
        <v>0</v>
      </c>
      <c r="P1054" s="31">
        <f t="shared" si="451"/>
        <v>0</v>
      </c>
      <c r="Q1054" s="31">
        <f t="shared" si="451"/>
        <v>0</v>
      </c>
      <c r="R1054" s="31">
        <f t="shared" si="451"/>
        <v>0</v>
      </c>
      <c r="S1054" s="31">
        <f t="shared" si="451"/>
        <v>0</v>
      </c>
      <c r="T1054" s="31">
        <f t="shared" si="451"/>
        <v>0</v>
      </c>
      <c r="U1054" s="31">
        <f t="shared" si="451"/>
        <v>0</v>
      </c>
      <c r="V1054" s="31">
        <f t="shared" si="451"/>
        <v>0</v>
      </c>
      <c r="W1054" s="31">
        <f t="shared" si="451"/>
        <v>0</v>
      </c>
      <c r="X1054" s="31">
        <f t="shared" si="451"/>
        <v>0</v>
      </c>
      <c r="Y1054" s="31">
        <f t="shared" si="451"/>
        <v>0</v>
      </c>
      <c r="Z1054" s="31">
        <f t="shared" si="451"/>
        <v>0</v>
      </c>
      <c r="AA1054" s="31">
        <f t="shared" si="451"/>
        <v>0</v>
      </c>
      <c r="AB1054" s="31">
        <f t="shared" si="451"/>
        <v>0</v>
      </c>
      <c r="AC1054" s="31">
        <f t="shared" si="451"/>
        <v>140255.74</v>
      </c>
      <c r="AD1054" s="31">
        <f t="shared" si="451"/>
        <v>400000</v>
      </c>
      <c r="AE1054" s="31">
        <f t="shared" si="451"/>
        <v>0</v>
      </c>
      <c r="AF1054" s="72" t="s">
        <v>794</v>
      </c>
      <c r="AG1054" s="72" t="s">
        <v>794</v>
      </c>
      <c r="AH1054" s="91" t="s">
        <v>794</v>
      </c>
      <c r="AT1054" s="20" t="e">
        <f t="shared" si="442"/>
        <v>#N/A</v>
      </c>
    </row>
    <row r="1055" spans="1:46" ht="61.5" x14ac:dyDescent="0.85">
      <c r="A1055" s="20">
        <v>1</v>
      </c>
      <c r="B1055" s="66">
        <f>SUBTOTAL(103,$A$929:A1055)</f>
        <v>121</v>
      </c>
      <c r="C1055" s="24" t="s">
        <v>678</v>
      </c>
      <c r="D1055" s="31">
        <f t="shared" ref="D1055:D1057" si="452">E1055+F1055+G1055+H1055+I1055+J1055+L1055+N1055+P1055+R1055+T1055+U1055+V1055+W1055+X1055+Y1055+Z1055+AA1055+AB1055+AC1055+AD1055+AE1055</f>
        <v>4229613.5999999996</v>
      </c>
      <c r="E1055" s="38">
        <v>0</v>
      </c>
      <c r="F1055" s="38">
        <v>0</v>
      </c>
      <c r="G1055" s="38">
        <v>0</v>
      </c>
      <c r="H1055" s="38">
        <v>0</v>
      </c>
      <c r="I1055" s="38">
        <v>0</v>
      </c>
      <c r="J1055" s="38">
        <v>0</v>
      </c>
      <c r="K1055" s="87">
        <v>0</v>
      </c>
      <c r="L1055" s="38">
        <v>0</v>
      </c>
      <c r="M1055" s="31">
        <v>846.6</v>
      </c>
      <c r="N1055" s="31">
        <v>4019323.74</v>
      </c>
      <c r="O1055" s="31">
        <v>0</v>
      </c>
      <c r="P1055" s="31">
        <v>0</v>
      </c>
      <c r="Q1055" s="31">
        <v>0</v>
      </c>
      <c r="R1055" s="31">
        <v>0</v>
      </c>
      <c r="S1055" s="31">
        <v>0</v>
      </c>
      <c r="T1055" s="31">
        <v>0</v>
      </c>
      <c r="U1055" s="31">
        <v>0</v>
      </c>
      <c r="V1055" s="31">
        <v>0</v>
      </c>
      <c r="W1055" s="31">
        <v>0</v>
      </c>
      <c r="X1055" s="31">
        <v>0</v>
      </c>
      <c r="Y1055" s="31">
        <v>0</v>
      </c>
      <c r="Z1055" s="31">
        <v>0</v>
      </c>
      <c r="AA1055" s="31">
        <v>0</v>
      </c>
      <c r="AB1055" s="31">
        <v>0</v>
      </c>
      <c r="AC1055" s="31">
        <f t="shared" ref="AC1055:AC1057" si="453">ROUND(N1055*1.5%,2)</f>
        <v>60289.86</v>
      </c>
      <c r="AD1055" s="31">
        <v>150000</v>
      </c>
      <c r="AE1055" s="31">
        <v>0</v>
      </c>
      <c r="AF1055" s="34">
        <v>2022</v>
      </c>
      <c r="AG1055" s="34">
        <v>2022</v>
      </c>
      <c r="AH1055" s="35">
        <v>2022</v>
      </c>
      <c r="AT1055" s="20" t="e">
        <f t="shared" si="442"/>
        <v>#N/A</v>
      </c>
    </row>
    <row r="1056" spans="1:46" ht="61.5" x14ac:dyDescent="0.85">
      <c r="A1056" s="20">
        <v>1</v>
      </c>
      <c r="B1056" s="66">
        <f>SUBTOTAL(103,$A$929:A1056)</f>
        <v>122</v>
      </c>
      <c r="C1056" s="24" t="s">
        <v>1162</v>
      </c>
      <c r="D1056" s="31">
        <f t="shared" si="452"/>
        <v>4226815.84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0</v>
      </c>
      <c r="K1056" s="87">
        <v>0</v>
      </c>
      <c r="L1056" s="38">
        <v>0</v>
      </c>
      <c r="M1056" s="31">
        <v>857.4</v>
      </c>
      <c r="N1056" s="31">
        <v>4036271.76</v>
      </c>
      <c r="O1056" s="31">
        <v>0</v>
      </c>
      <c r="P1056" s="31">
        <v>0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  <c r="V1056" s="31">
        <v>0</v>
      </c>
      <c r="W1056" s="31">
        <v>0</v>
      </c>
      <c r="X1056" s="31">
        <v>0</v>
      </c>
      <c r="Y1056" s="31">
        <v>0</v>
      </c>
      <c r="Z1056" s="31">
        <v>0</v>
      </c>
      <c r="AA1056" s="31">
        <v>0</v>
      </c>
      <c r="AB1056" s="31">
        <v>0</v>
      </c>
      <c r="AC1056" s="31">
        <f t="shared" si="453"/>
        <v>60544.08</v>
      </c>
      <c r="AD1056" s="31">
        <v>130000</v>
      </c>
      <c r="AE1056" s="31">
        <v>0</v>
      </c>
      <c r="AF1056" s="34">
        <v>2022</v>
      </c>
      <c r="AG1056" s="34">
        <v>2022</v>
      </c>
      <c r="AH1056" s="35">
        <v>2022</v>
      </c>
    </row>
    <row r="1057" spans="1:46" ht="61.5" x14ac:dyDescent="0.85">
      <c r="A1057" s="20">
        <v>1</v>
      </c>
      <c r="B1057" s="66">
        <f>SUBTOTAL(103,$A$929:A1057)</f>
        <v>123</v>
      </c>
      <c r="C1057" s="24" t="s">
        <v>676</v>
      </c>
      <c r="D1057" s="31">
        <f t="shared" si="452"/>
        <v>1434208.7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0</v>
      </c>
      <c r="K1057" s="87">
        <v>0</v>
      </c>
      <c r="L1057" s="38">
        <v>0</v>
      </c>
      <c r="M1057" s="31">
        <v>274.7</v>
      </c>
      <c r="N1057" s="31">
        <v>1294786.8999999999</v>
      </c>
      <c r="O1057" s="31">
        <v>0</v>
      </c>
      <c r="P1057" s="31">
        <v>0</v>
      </c>
      <c r="Q1057" s="31">
        <v>0</v>
      </c>
      <c r="R1057" s="31">
        <v>0</v>
      </c>
      <c r="S1057" s="31">
        <v>0</v>
      </c>
      <c r="T1057" s="31">
        <v>0</v>
      </c>
      <c r="U1057" s="31">
        <v>0</v>
      </c>
      <c r="V1057" s="31">
        <v>0</v>
      </c>
      <c r="W1057" s="31">
        <v>0</v>
      </c>
      <c r="X1057" s="31">
        <v>0</v>
      </c>
      <c r="Y1057" s="31">
        <v>0</v>
      </c>
      <c r="Z1057" s="31">
        <v>0</v>
      </c>
      <c r="AA1057" s="31">
        <v>0</v>
      </c>
      <c r="AB1057" s="31">
        <v>0</v>
      </c>
      <c r="AC1057" s="31">
        <f t="shared" si="453"/>
        <v>19421.8</v>
      </c>
      <c r="AD1057" s="31">
        <v>120000</v>
      </c>
      <c r="AE1057" s="31">
        <v>0</v>
      </c>
      <c r="AF1057" s="34">
        <v>2022</v>
      </c>
      <c r="AG1057" s="34">
        <v>2022</v>
      </c>
      <c r="AH1057" s="35">
        <v>2022</v>
      </c>
      <c r="AT1057" s="20" t="e">
        <f t="shared" ref="AT1057:AT1088" si="454">VLOOKUP(C1057,AW:AX,2,FALSE)</f>
        <v>#N/A</v>
      </c>
    </row>
    <row r="1058" spans="1:46" ht="61.5" x14ac:dyDescent="0.85">
      <c r="B1058" s="24" t="s">
        <v>860</v>
      </c>
      <c r="C1058" s="24"/>
      <c r="D1058" s="31">
        <f>D1059+D1060</f>
        <v>11422752.699999999</v>
      </c>
      <c r="E1058" s="31">
        <f t="shared" ref="E1058:AE1058" si="455">E1059+E1060</f>
        <v>0</v>
      </c>
      <c r="F1058" s="31">
        <f t="shared" si="455"/>
        <v>0</v>
      </c>
      <c r="G1058" s="31">
        <f t="shared" si="455"/>
        <v>3881891.1399999997</v>
      </c>
      <c r="H1058" s="31">
        <f t="shared" si="455"/>
        <v>0</v>
      </c>
      <c r="I1058" s="31">
        <f t="shared" si="455"/>
        <v>0</v>
      </c>
      <c r="J1058" s="31">
        <f t="shared" si="455"/>
        <v>0</v>
      </c>
      <c r="K1058" s="33">
        <f t="shared" si="455"/>
        <v>0</v>
      </c>
      <c r="L1058" s="31">
        <f t="shared" si="455"/>
        <v>0</v>
      </c>
      <c r="M1058" s="31">
        <f t="shared" si="455"/>
        <v>0</v>
      </c>
      <c r="N1058" s="31">
        <f t="shared" si="455"/>
        <v>0</v>
      </c>
      <c r="O1058" s="31">
        <f t="shared" si="455"/>
        <v>0</v>
      </c>
      <c r="P1058" s="31">
        <f t="shared" si="455"/>
        <v>0</v>
      </c>
      <c r="Q1058" s="31">
        <f t="shared" si="455"/>
        <v>782.6</v>
      </c>
      <c r="R1058" s="31">
        <f t="shared" si="455"/>
        <v>2719809.65</v>
      </c>
      <c r="S1058" s="31">
        <f t="shared" si="455"/>
        <v>144</v>
      </c>
      <c r="T1058" s="31">
        <f t="shared" si="455"/>
        <v>4061109.75</v>
      </c>
      <c r="U1058" s="31">
        <f t="shared" si="455"/>
        <v>0</v>
      </c>
      <c r="V1058" s="31">
        <f t="shared" si="455"/>
        <v>0</v>
      </c>
      <c r="W1058" s="31">
        <f t="shared" si="455"/>
        <v>0</v>
      </c>
      <c r="X1058" s="31">
        <f t="shared" si="455"/>
        <v>0</v>
      </c>
      <c r="Y1058" s="31">
        <f t="shared" si="455"/>
        <v>0</v>
      </c>
      <c r="Z1058" s="31">
        <f t="shared" si="455"/>
        <v>0</v>
      </c>
      <c r="AA1058" s="31">
        <f t="shared" si="455"/>
        <v>0</v>
      </c>
      <c r="AB1058" s="31">
        <f t="shared" si="455"/>
        <v>0</v>
      </c>
      <c r="AC1058" s="31">
        <f t="shared" si="455"/>
        <v>159942.16</v>
      </c>
      <c r="AD1058" s="31">
        <f t="shared" si="455"/>
        <v>600000</v>
      </c>
      <c r="AE1058" s="31">
        <f t="shared" si="455"/>
        <v>0</v>
      </c>
      <c r="AF1058" s="72" t="s">
        <v>794</v>
      </c>
      <c r="AG1058" s="72" t="s">
        <v>794</v>
      </c>
      <c r="AH1058" s="91" t="s">
        <v>794</v>
      </c>
      <c r="AT1058" s="20" t="e">
        <f t="shared" si="454"/>
        <v>#N/A</v>
      </c>
    </row>
    <row r="1059" spans="1:46" ht="61.5" x14ac:dyDescent="0.85">
      <c r="A1059" s="20">
        <v>1</v>
      </c>
      <c r="B1059" s="66">
        <f>SUBTOTAL(103,$A$929:A1059)</f>
        <v>124</v>
      </c>
      <c r="C1059" s="24" t="s">
        <v>682</v>
      </c>
      <c r="D1059" s="31">
        <f t="shared" ref="D1059:D1060" si="456">E1059+F1059+G1059+H1059+I1059+J1059+L1059+N1059+P1059+R1059+T1059+U1059+V1059+W1059+X1059+Y1059+Z1059+AA1059+AB1059+AC1059+AD1059+AE1059</f>
        <v>4240119.51</v>
      </c>
      <c r="E1059" s="38">
        <v>0</v>
      </c>
      <c r="F1059" s="38">
        <v>0</v>
      </c>
      <c r="G1059" s="31">
        <v>3881891.1399999997</v>
      </c>
      <c r="H1059" s="38">
        <v>0</v>
      </c>
      <c r="I1059" s="38">
        <v>0</v>
      </c>
      <c r="J1059" s="38">
        <v>0</v>
      </c>
      <c r="K1059" s="87">
        <v>0</v>
      </c>
      <c r="L1059" s="38">
        <v>0</v>
      </c>
      <c r="M1059" s="31">
        <v>0</v>
      </c>
      <c r="N1059" s="31">
        <v>0</v>
      </c>
      <c r="O1059" s="31">
        <v>0</v>
      </c>
      <c r="P1059" s="31">
        <v>0</v>
      </c>
      <c r="Q1059" s="31">
        <v>0</v>
      </c>
      <c r="R1059" s="31">
        <v>0</v>
      </c>
      <c r="S1059" s="31">
        <v>0</v>
      </c>
      <c r="T1059" s="31">
        <v>0</v>
      </c>
      <c r="U1059" s="31">
        <v>0</v>
      </c>
      <c r="V1059" s="31">
        <v>0</v>
      </c>
      <c r="W1059" s="31">
        <v>0</v>
      </c>
      <c r="X1059" s="31">
        <v>0</v>
      </c>
      <c r="Y1059" s="31">
        <v>0</v>
      </c>
      <c r="Z1059" s="31">
        <v>0</v>
      </c>
      <c r="AA1059" s="31">
        <v>0</v>
      </c>
      <c r="AB1059" s="31">
        <v>0</v>
      </c>
      <c r="AC1059" s="31">
        <f t="shared" ref="AC1059" si="457">ROUND((E1059+F1059+G1059+H1059+I1059+J1059)*1.5%,2)</f>
        <v>58228.37</v>
      </c>
      <c r="AD1059" s="31">
        <v>300000</v>
      </c>
      <c r="AE1059" s="31">
        <v>0</v>
      </c>
      <c r="AF1059" s="34">
        <v>2022</v>
      </c>
      <c r="AG1059" s="34">
        <v>2022</v>
      </c>
      <c r="AH1059" s="35">
        <v>2022</v>
      </c>
      <c r="AT1059" s="20" t="e">
        <f t="shared" si="454"/>
        <v>#N/A</v>
      </c>
    </row>
    <row r="1060" spans="1:46" ht="61.5" x14ac:dyDescent="0.85">
      <c r="A1060" s="20">
        <v>1</v>
      </c>
      <c r="B1060" s="66">
        <f>SUBTOTAL(103,$A$929:A1060)</f>
        <v>125</v>
      </c>
      <c r="C1060" s="24" t="s">
        <v>686</v>
      </c>
      <c r="D1060" s="31">
        <f t="shared" si="456"/>
        <v>7182633.1900000004</v>
      </c>
      <c r="E1060" s="38">
        <v>0</v>
      </c>
      <c r="F1060" s="38">
        <v>0</v>
      </c>
      <c r="G1060" s="39">
        <v>0</v>
      </c>
      <c r="H1060" s="38">
        <v>0</v>
      </c>
      <c r="I1060" s="38">
        <v>0</v>
      </c>
      <c r="J1060" s="38">
        <v>0</v>
      </c>
      <c r="K1060" s="87">
        <v>0</v>
      </c>
      <c r="L1060" s="38">
        <v>0</v>
      </c>
      <c r="M1060" s="31">
        <v>0</v>
      </c>
      <c r="N1060" s="31">
        <v>0</v>
      </c>
      <c r="O1060" s="31">
        <v>0</v>
      </c>
      <c r="P1060" s="31">
        <v>0</v>
      </c>
      <c r="Q1060" s="31">
        <v>782.6</v>
      </c>
      <c r="R1060" s="31">
        <v>2719809.65</v>
      </c>
      <c r="S1060" s="31">
        <v>144</v>
      </c>
      <c r="T1060" s="31">
        <v>4061109.75</v>
      </c>
      <c r="U1060" s="31">
        <v>0</v>
      </c>
      <c r="V1060" s="31">
        <v>0</v>
      </c>
      <c r="W1060" s="31">
        <v>0</v>
      </c>
      <c r="X1060" s="31">
        <v>0</v>
      </c>
      <c r="Y1060" s="31">
        <v>0</v>
      </c>
      <c r="Z1060" s="31">
        <v>0</v>
      </c>
      <c r="AA1060" s="31">
        <v>0</v>
      </c>
      <c r="AB1060" s="31">
        <v>0</v>
      </c>
      <c r="AC1060" s="31">
        <f>ROUND((R1060+T1060)*1.5%,2)</f>
        <v>101713.79</v>
      </c>
      <c r="AD1060" s="31">
        <v>300000</v>
      </c>
      <c r="AE1060" s="31">
        <v>0</v>
      </c>
      <c r="AF1060" s="34">
        <v>2022</v>
      </c>
      <c r="AG1060" s="34">
        <v>2022</v>
      </c>
      <c r="AH1060" s="35">
        <v>2022</v>
      </c>
      <c r="AT1060" s="20" t="e">
        <f t="shared" si="454"/>
        <v>#N/A</v>
      </c>
    </row>
    <row r="1061" spans="1:46" ht="61.5" x14ac:dyDescent="0.85">
      <c r="B1061" s="24" t="s">
        <v>861</v>
      </c>
      <c r="C1061" s="24"/>
      <c r="D1061" s="31">
        <f>D1062+D1063</f>
        <v>8756823</v>
      </c>
      <c r="E1061" s="31">
        <f t="shared" ref="E1061:AE1061" si="458">E1062+E1063</f>
        <v>0</v>
      </c>
      <c r="F1061" s="31">
        <f t="shared" si="458"/>
        <v>0</v>
      </c>
      <c r="G1061" s="31">
        <f t="shared" si="458"/>
        <v>0</v>
      </c>
      <c r="H1061" s="31">
        <f t="shared" si="458"/>
        <v>0</v>
      </c>
      <c r="I1061" s="31">
        <f t="shared" si="458"/>
        <v>0</v>
      </c>
      <c r="J1061" s="31">
        <f t="shared" si="458"/>
        <v>0</v>
      </c>
      <c r="K1061" s="33">
        <f t="shared" si="458"/>
        <v>0</v>
      </c>
      <c r="L1061" s="31">
        <f t="shared" si="458"/>
        <v>0</v>
      </c>
      <c r="M1061" s="31">
        <f t="shared" si="458"/>
        <v>1713</v>
      </c>
      <c r="N1061" s="31">
        <f t="shared" si="458"/>
        <v>8331845.3199999994</v>
      </c>
      <c r="O1061" s="31">
        <f t="shared" si="458"/>
        <v>0</v>
      </c>
      <c r="P1061" s="31">
        <f t="shared" si="458"/>
        <v>0</v>
      </c>
      <c r="Q1061" s="31">
        <f t="shared" si="458"/>
        <v>0</v>
      </c>
      <c r="R1061" s="31">
        <f t="shared" si="458"/>
        <v>0</v>
      </c>
      <c r="S1061" s="31">
        <f t="shared" si="458"/>
        <v>0</v>
      </c>
      <c r="T1061" s="31">
        <f t="shared" si="458"/>
        <v>0</v>
      </c>
      <c r="U1061" s="31">
        <f t="shared" si="458"/>
        <v>0</v>
      </c>
      <c r="V1061" s="31">
        <f t="shared" si="458"/>
        <v>0</v>
      </c>
      <c r="W1061" s="31">
        <f t="shared" si="458"/>
        <v>0</v>
      </c>
      <c r="X1061" s="31">
        <f t="shared" si="458"/>
        <v>0</v>
      </c>
      <c r="Y1061" s="31">
        <f t="shared" si="458"/>
        <v>0</v>
      </c>
      <c r="Z1061" s="31">
        <f t="shared" si="458"/>
        <v>0</v>
      </c>
      <c r="AA1061" s="31">
        <f t="shared" si="458"/>
        <v>0</v>
      </c>
      <c r="AB1061" s="31">
        <f t="shared" si="458"/>
        <v>0</v>
      </c>
      <c r="AC1061" s="31">
        <f t="shared" si="458"/>
        <v>124977.68</v>
      </c>
      <c r="AD1061" s="31">
        <f t="shared" si="458"/>
        <v>300000</v>
      </c>
      <c r="AE1061" s="31">
        <f t="shared" si="458"/>
        <v>0</v>
      </c>
      <c r="AF1061" s="72" t="s">
        <v>794</v>
      </c>
      <c r="AG1061" s="72" t="s">
        <v>794</v>
      </c>
      <c r="AH1061" s="91" t="s">
        <v>794</v>
      </c>
      <c r="AT1061" s="20" t="e">
        <f t="shared" si="454"/>
        <v>#N/A</v>
      </c>
    </row>
    <row r="1062" spans="1:46" ht="61.5" x14ac:dyDescent="0.85">
      <c r="A1062" s="20">
        <v>1</v>
      </c>
      <c r="B1062" s="66">
        <f>SUBTOTAL(103,$A$929:A1062)</f>
        <v>126</v>
      </c>
      <c r="C1062" s="24" t="s">
        <v>691</v>
      </c>
      <c r="D1062" s="31">
        <f t="shared" ref="D1062" si="459">E1062+F1062+G1062+H1062+I1062+J1062+L1062+N1062+P1062+R1062+T1062+U1062+V1062+W1062+X1062+Y1062+Z1062+AA1062+AB1062+AC1062+AD1062+AE1062</f>
        <v>4146680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0</v>
      </c>
      <c r="K1062" s="87">
        <v>0</v>
      </c>
      <c r="L1062" s="38">
        <v>0</v>
      </c>
      <c r="M1062" s="31">
        <v>830</v>
      </c>
      <c r="N1062" s="31">
        <v>3937615.76</v>
      </c>
      <c r="O1062" s="31">
        <v>0</v>
      </c>
      <c r="P1062" s="31">
        <v>0</v>
      </c>
      <c r="Q1062" s="31">
        <v>0</v>
      </c>
      <c r="R1062" s="31">
        <v>0</v>
      </c>
      <c r="S1062" s="31">
        <v>0</v>
      </c>
      <c r="T1062" s="31">
        <v>0</v>
      </c>
      <c r="U1062" s="31">
        <v>0</v>
      </c>
      <c r="V1062" s="31">
        <v>0</v>
      </c>
      <c r="W1062" s="31">
        <v>0</v>
      </c>
      <c r="X1062" s="31">
        <v>0</v>
      </c>
      <c r="Y1062" s="31">
        <v>0</v>
      </c>
      <c r="Z1062" s="31">
        <v>0</v>
      </c>
      <c r="AA1062" s="31">
        <v>0</v>
      </c>
      <c r="AB1062" s="31">
        <v>0</v>
      </c>
      <c r="AC1062" s="31">
        <f t="shared" ref="AC1062" si="460">ROUND(N1062*1.5%,2)</f>
        <v>59064.24</v>
      </c>
      <c r="AD1062" s="31">
        <v>150000</v>
      </c>
      <c r="AE1062" s="31">
        <v>0</v>
      </c>
      <c r="AF1062" s="34">
        <v>2022</v>
      </c>
      <c r="AG1062" s="34">
        <v>2022</v>
      </c>
      <c r="AH1062" s="35">
        <v>2022</v>
      </c>
      <c r="AT1062" s="20" t="e">
        <f t="shared" si="454"/>
        <v>#N/A</v>
      </c>
    </row>
    <row r="1063" spans="1:46" ht="61.5" x14ac:dyDescent="0.85">
      <c r="A1063" s="20">
        <v>1</v>
      </c>
      <c r="B1063" s="66">
        <f>SUBTOTAL(103,$A$929:A1063)</f>
        <v>127</v>
      </c>
      <c r="C1063" s="24" t="s">
        <v>694</v>
      </c>
      <c r="D1063" s="31">
        <f>E1063+F1063+G1063+H1063+I1063+J1063+L1063+N1063+P1063+R1063+T1063+U1063+V1063+W1063+X1063+Y1063+Z1063+AA1063+AB1063+AC1063+AD1063+AE1063</f>
        <v>4610143</v>
      </c>
      <c r="E1063" s="36">
        <v>0</v>
      </c>
      <c r="F1063" s="36">
        <v>0</v>
      </c>
      <c r="G1063" s="36">
        <v>0</v>
      </c>
      <c r="H1063" s="36">
        <v>0</v>
      </c>
      <c r="I1063" s="36">
        <v>0</v>
      </c>
      <c r="J1063" s="36">
        <v>0</v>
      </c>
      <c r="K1063" s="33">
        <v>0</v>
      </c>
      <c r="L1063" s="31">
        <v>0</v>
      </c>
      <c r="M1063" s="31">
        <v>883</v>
      </c>
      <c r="N1063" s="31">
        <v>4394229.5599999996</v>
      </c>
      <c r="O1063" s="31">
        <v>0</v>
      </c>
      <c r="P1063" s="31">
        <v>0</v>
      </c>
      <c r="Q1063" s="31">
        <v>0</v>
      </c>
      <c r="R1063" s="31">
        <v>0</v>
      </c>
      <c r="S1063" s="31">
        <v>0</v>
      </c>
      <c r="T1063" s="31">
        <v>0</v>
      </c>
      <c r="U1063" s="31">
        <v>0</v>
      </c>
      <c r="V1063" s="31">
        <v>0</v>
      </c>
      <c r="W1063" s="31">
        <v>0</v>
      </c>
      <c r="X1063" s="31">
        <v>0</v>
      </c>
      <c r="Y1063" s="31">
        <v>0</v>
      </c>
      <c r="Z1063" s="31">
        <v>0</v>
      </c>
      <c r="AA1063" s="31">
        <v>0</v>
      </c>
      <c r="AB1063" s="31">
        <v>0</v>
      </c>
      <c r="AC1063" s="31">
        <f>ROUND(N1063*1.5%,2)</f>
        <v>65913.440000000002</v>
      </c>
      <c r="AD1063" s="31">
        <v>150000</v>
      </c>
      <c r="AE1063" s="31">
        <v>0</v>
      </c>
      <c r="AF1063" s="34">
        <v>2022</v>
      </c>
      <c r="AG1063" s="34">
        <v>2022</v>
      </c>
      <c r="AH1063" s="35">
        <v>2022</v>
      </c>
      <c r="AT1063" s="20" t="e">
        <f t="shared" si="454"/>
        <v>#N/A</v>
      </c>
    </row>
    <row r="1064" spans="1:46" ht="61.5" x14ac:dyDescent="0.85">
      <c r="B1064" s="24" t="s">
        <v>862</v>
      </c>
      <c r="C1064" s="117"/>
      <c r="D1064" s="31">
        <f>D1065</f>
        <v>4369866.08</v>
      </c>
      <c r="E1064" s="31">
        <f t="shared" ref="E1064:AE1064" si="461">E1065</f>
        <v>0</v>
      </c>
      <c r="F1064" s="31">
        <f t="shared" si="461"/>
        <v>0</v>
      </c>
      <c r="G1064" s="31">
        <f t="shared" si="461"/>
        <v>0</v>
      </c>
      <c r="H1064" s="31">
        <f t="shared" si="461"/>
        <v>0</v>
      </c>
      <c r="I1064" s="31">
        <f t="shared" si="461"/>
        <v>0</v>
      </c>
      <c r="J1064" s="31">
        <f t="shared" si="461"/>
        <v>0</v>
      </c>
      <c r="K1064" s="33">
        <f t="shared" si="461"/>
        <v>0</v>
      </c>
      <c r="L1064" s="31">
        <f t="shared" si="461"/>
        <v>0</v>
      </c>
      <c r="M1064" s="31">
        <f t="shared" si="461"/>
        <v>1203</v>
      </c>
      <c r="N1064" s="31">
        <f t="shared" si="461"/>
        <v>4127946.88</v>
      </c>
      <c r="O1064" s="31">
        <f t="shared" si="461"/>
        <v>0</v>
      </c>
      <c r="P1064" s="31">
        <f t="shared" si="461"/>
        <v>0</v>
      </c>
      <c r="Q1064" s="31">
        <f t="shared" si="461"/>
        <v>0</v>
      </c>
      <c r="R1064" s="31">
        <f t="shared" si="461"/>
        <v>0</v>
      </c>
      <c r="S1064" s="31">
        <f t="shared" si="461"/>
        <v>0</v>
      </c>
      <c r="T1064" s="31">
        <f t="shared" si="461"/>
        <v>0</v>
      </c>
      <c r="U1064" s="31">
        <f t="shared" si="461"/>
        <v>0</v>
      </c>
      <c r="V1064" s="31">
        <f t="shared" si="461"/>
        <v>0</v>
      </c>
      <c r="W1064" s="31">
        <f t="shared" si="461"/>
        <v>0</v>
      </c>
      <c r="X1064" s="31">
        <f t="shared" si="461"/>
        <v>0</v>
      </c>
      <c r="Y1064" s="31">
        <f t="shared" si="461"/>
        <v>0</v>
      </c>
      <c r="Z1064" s="31">
        <f t="shared" si="461"/>
        <v>0</v>
      </c>
      <c r="AA1064" s="31">
        <f t="shared" si="461"/>
        <v>0</v>
      </c>
      <c r="AB1064" s="31">
        <f t="shared" si="461"/>
        <v>0</v>
      </c>
      <c r="AC1064" s="31">
        <f t="shared" si="461"/>
        <v>61919.199999999997</v>
      </c>
      <c r="AD1064" s="31">
        <f t="shared" si="461"/>
        <v>180000</v>
      </c>
      <c r="AE1064" s="31">
        <f t="shared" si="461"/>
        <v>0</v>
      </c>
      <c r="AF1064" s="72" t="s">
        <v>794</v>
      </c>
      <c r="AG1064" s="72" t="s">
        <v>794</v>
      </c>
      <c r="AH1064" s="91" t="s">
        <v>794</v>
      </c>
      <c r="AT1064" s="20" t="e">
        <f t="shared" si="454"/>
        <v>#N/A</v>
      </c>
    </row>
    <row r="1065" spans="1:46" ht="61.5" x14ac:dyDescent="0.85">
      <c r="A1065" s="20">
        <v>1</v>
      </c>
      <c r="B1065" s="66">
        <f>SUBTOTAL(103,$A$929:A1065)</f>
        <v>128</v>
      </c>
      <c r="C1065" s="24" t="s">
        <v>715</v>
      </c>
      <c r="D1065" s="31">
        <f t="shared" ref="D1065" si="462">E1065+F1065+G1065+H1065+I1065+J1065+L1065+N1065+P1065+R1065+T1065+U1065+V1065+W1065+X1065+Y1065+Z1065+AA1065+AB1065+AC1065+AD1065+AE1065</f>
        <v>4369866.08</v>
      </c>
      <c r="E1065" s="31">
        <v>0</v>
      </c>
      <c r="F1065" s="31">
        <v>0</v>
      </c>
      <c r="G1065" s="31">
        <v>0</v>
      </c>
      <c r="H1065" s="31">
        <v>0</v>
      </c>
      <c r="I1065" s="31">
        <v>0</v>
      </c>
      <c r="J1065" s="31">
        <v>0</v>
      </c>
      <c r="K1065" s="33">
        <v>0</v>
      </c>
      <c r="L1065" s="31">
        <v>0</v>
      </c>
      <c r="M1065" s="31">
        <v>1203</v>
      </c>
      <c r="N1065" s="31">
        <v>4127946.88</v>
      </c>
      <c r="O1065" s="31">
        <v>0</v>
      </c>
      <c r="P1065" s="31">
        <v>0</v>
      </c>
      <c r="Q1065" s="31">
        <v>0</v>
      </c>
      <c r="R1065" s="31">
        <v>0</v>
      </c>
      <c r="S1065" s="31">
        <v>0</v>
      </c>
      <c r="T1065" s="31">
        <v>0</v>
      </c>
      <c r="U1065" s="31">
        <v>0</v>
      </c>
      <c r="V1065" s="31">
        <v>0</v>
      </c>
      <c r="W1065" s="31">
        <v>0</v>
      </c>
      <c r="X1065" s="31">
        <v>0</v>
      </c>
      <c r="Y1065" s="31">
        <v>0</v>
      </c>
      <c r="Z1065" s="31">
        <v>0</v>
      </c>
      <c r="AA1065" s="31">
        <v>0</v>
      </c>
      <c r="AB1065" s="31">
        <v>0</v>
      </c>
      <c r="AC1065" s="31">
        <f>ROUND(N1065*1.5%,2)</f>
        <v>61919.199999999997</v>
      </c>
      <c r="AD1065" s="31">
        <v>180000</v>
      </c>
      <c r="AE1065" s="31">
        <v>0</v>
      </c>
      <c r="AF1065" s="34">
        <v>2022</v>
      </c>
      <c r="AG1065" s="34">
        <v>2022</v>
      </c>
      <c r="AH1065" s="35">
        <v>2022</v>
      </c>
      <c r="AT1065" s="20" t="e">
        <f t="shared" si="454"/>
        <v>#N/A</v>
      </c>
    </row>
    <row r="1066" spans="1:46" ht="61.5" x14ac:dyDescent="0.85">
      <c r="B1066" s="24" t="s">
        <v>863</v>
      </c>
      <c r="C1066" s="24"/>
      <c r="D1066" s="31">
        <f>D1067</f>
        <v>2936950.21</v>
      </c>
      <c r="E1066" s="31">
        <f t="shared" ref="E1066:AE1066" si="463">E1067</f>
        <v>0</v>
      </c>
      <c r="F1066" s="31">
        <f t="shared" si="463"/>
        <v>0</v>
      </c>
      <c r="G1066" s="31">
        <f t="shared" si="463"/>
        <v>0</v>
      </c>
      <c r="H1066" s="31">
        <f t="shared" si="463"/>
        <v>0</v>
      </c>
      <c r="I1066" s="31">
        <f t="shared" si="463"/>
        <v>0</v>
      </c>
      <c r="J1066" s="31">
        <f t="shared" si="463"/>
        <v>0</v>
      </c>
      <c r="K1066" s="33">
        <f t="shared" si="463"/>
        <v>0</v>
      </c>
      <c r="L1066" s="31">
        <f t="shared" si="463"/>
        <v>0</v>
      </c>
      <c r="M1066" s="31">
        <f t="shared" si="463"/>
        <v>0</v>
      </c>
      <c r="N1066" s="31">
        <f t="shared" si="463"/>
        <v>0</v>
      </c>
      <c r="O1066" s="31">
        <f t="shared" si="463"/>
        <v>0</v>
      </c>
      <c r="P1066" s="31">
        <f t="shared" si="463"/>
        <v>0</v>
      </c>
      <c r="Q1066" s="31">
        <f t="shared" si="463"/>
        <v>787</v>
      </c>
      <c r="R1066" s="31">
        <f t="shared" si="463"/>
        <v>2765468.19</v>
      </c>
      <c r="S1066" s="31">
        <f t="shared" si="463"/>
        <v>0</v>
      </c>
      <c r="T1066" s="31">
        <f t="shared" si="463"/>
        <v>0</v>
      </c>
      <c r="U1066" s="31">
        <f t="shared" si="463"/>
        <v>0</v>
      </c>
      <c r="V1066" s="31">
        <f t="shared" si="463"/>
        <v>0</v>
      </c>
      <c r="W1066" s="31">
        <f t="shared" si="463"/>
        <v>0</v>
      </c>
      <c r="X1066" s="31">
        <f t="shared" si="463"/>
        <v>0</v>
      </c>
      <c r="Y1066" s="31">
        <f t="shared" si="463"/>
        <v>0</v>
      </c>
      <c r="Z1066" s="31">
        <f t="shared" si="463"/>
        <v>0</v>
      </c>
      <c r="AA1066" s="31">
        <f t="shared" si="463"/>
        <v>0</v>
      </c>
      <c r="AB1066" s="31">
        <f t="shared" si="463"/>
        <v>0</v>
      </c>
      <c r="AC1066" s="31">
        <f t="shared" si="463"/>
        <v>41482.019999999997</v>
      </c>
      <c r="AD1066" s="31">
        <f t="shared" si="463"/>
        <v>130000</v>
      </c>
      <c r="AE1066" s="31">
        <f t="shared" si="463"/>
        <v>0</v>
      </c>
      <c r="AF1066" s="72" t="s">
        <v>794</v>
      </c>
      <c r="AG1066" s="72" t="s">
        <v>794</v>
      </c>
      <c r="AH1066" s="91" t="s">
        <v>794</v>
      </c>
      <c r="AT1066" s="20" t="e">
        <f t="shared" si="454"/>
        <v>#N/A</v>
      </c>
    </row>
    <row r="1067" spans="1:46" ht="61.5" x14ac:dyDescent="0.85">
      <c r="A1067" s="20">
        <v>1</v>
      </c>
      <c r="B1067" s="66">
        <f>SUBTOTAL(103,$A$929:A1067)</f>
        <v>129</v>
      </c>
      <c r="C1067" s="24" t="s">
        <v>730</v>
      </c>
      <c r="D1067" s="31">
        <f t="shared" ref="D1067" si="464">E1067+F1067+G1067+H1067+I1067+J1067+L1067+N1067+P1067+R1067+T1067+U1067+V1067+W1067+X1067+Y1067+Z1067+AA1067+AB1067+AC1067+AD1067+AE1067</f>
        <v>2936950.21</v>
      </c>
      <c r="E1067" s="31">
        <v>0</v>
      </c>
      <c r="F1067" s="31">
        <v>0</v>
      </c>
      <c r="G1067" s="31">
        <v>0</v>
      </c>
      <c r="H1067" s="31">
        <v>0</v>
      </c>
      <c r="I1067" s="31">
        <v>0</v>
      </c>
      <c r="J1067" s="31">
        <v>0</v>
      </c>
      <c r="K1067" s="33">
        <v>0</v>
      </c>
      <c r="L1067" s="31">
        <v>0</v>
      </c>
      <c r="M1067" s="31">
        <v>0</v>
      </c>
      <c r="N1067" s="31">
        <v>0</v>
      </c>
      <c r="O1067" s="31">
        <v>0</v>
      </c>
      <c r="P1067" s="31">
        <v>0</v>
      </c>
      <c r="Q1067" s="31">
        <v>787</v>
      </c>
      <c r="R1067" s="31">
        <v>2765468.19</v>
      </c>
      <c r="S1067" s="31">
        <v>0</v>
      </c>
      <c r="T1067" s="31">
        <v>0</v>
      </c>
      <c r="U1067" s="31">
        <v>0</v>
      </c>
      <c r="V1067" s="31">
        <v>0</v>
      </c>
      <c r="W1067" s="31">
        <v>0</v>
      </c>
      <c r="X1067" s="31">
        <v>0</v>
      </c>
      <c r="Y1067" s="31">
        <v>0</v>
      </c>
      <c r="Z1067" s="31">
        <v>0</v>
      </c>
      <c r="AA1067" s="31">
        <v>0</v>
      </c>
      <c r="AB1067" s="31">
        <v>0</v>
      </c>
      <c r="AC1067" s="31">
        <f t="shared" ref="AC1067" si="465">ROUND(R1067*1.5%,2)</f>
        <v>41482.019999999997</v>
      </c>
      <c r="AD1067" s="31">
        <v>130000</v>
      </c>
      <c r="AE1067" s="31">
        <v>0</v>
      </c>
      <c r="AF1067" s="34">
        <v>2022</v>
      </c>
      <c r="AG1067" s="34">
        <v>2022</v>
      </c>
      <c r="AH1067" s="35">
        <v>2022</v>
      </c>
      <c r="AT1067" s="20" t="e">
        <f t="shared" si="454"/>
        <v>#N/A</v>
      </c>
    </row>
    <row r="1068" spans="1:46" ht="61.5" x14ac:dyDescent="0.85">
      <c r="B1068" s="24" t="s">
        <v>864</v>
      </c>
      <c r="C1068" s="24"/>
      <c r="D1068" s="31">
        <f>D1069+D1070</f>
        <v>2773728.46</v>
      </c>
      <c r="E1068" s="31">
        <f t="shared" ref="E1068:AE1068" si="466">E1069+E1070</f>
        <v>0</v>
      </c>
      <c r="F1068" s="31">
        <f t="shared" si="466"/>
        <v>0</v>
      </c>
      <c r="G1068" s="31">
        <f t="shared" si="466"/>
        <v>0</v>
      </c>
      <c r="H1068" s="31">
        <f t="shared" si="466"/>
        <v>0</v>
      </c>
      <c r="I1068" s="31">
        <f t="shared" si="466"/>
        <v>191760.14</v>
      </c>
      <c r="J1068" s="31">
        <f t="shared" si="466"/>
        <v>0</v>
      </c>
      <c r="K1068" s="33">
        <f t="shared" si="466"/>
        <v>0</v>
      </c>
      <c r="L1068" s="31">
        <f t="shared" si="466"/>
        <v>0</v>
      </c>
      <c r="M1068" s="31">
        <f t="shared" si="466"/>
        <v>628</v>
      </c>
      <c r="N1068" s="31">
        <f t="shared" si="466"/>
        <v>2353785.14</v>
      </c>
      <c r="O1068" s="31">
        <f t="shared" si="466"/>
        <v>0</v>
      </c>
      <c r="P1068" s="31">
        <f t="shared" si="466"/>
        <v>0</v>
      </c>
      <c r="Q1068" s="31">
        <f t="shared" si="466"/>
        <v>0</v>
      </c>
      <c r="R1068" s="31">
        <f t="shared" si="466"/>
        <v>0</v>
      </c>
      <c r="S1068" s="31">
        <f t="shared" si="466"/>
        <v>0</v>
      </c>
      <c r="T1068" s="31">
        <f t="shared" si="466"/>
        <v>0</v>
      </c>
      <c r="U1068" s="31">
        <f t="shared" si="466"/>
        <v>0</v>
      </c>
      <c r="V1068" s="31">
        <f t="shared" si="466"/>
        <v>0</v>
      </c>
      <c r="W1068" s="31">
        <f t="shared" si="466"/>
        <v>0</v>
      </c>
      <c r="X1068" s="31">
        <f t="shared" si="466"/>
        <v>0</v>
      </c>
      <c r="Y1068" s="31">
        <f t="shared" si="466"/>
        <v>0</v>
      </c>
      <c r="Z1068" s="31">
        <f t="shared" si="466"/>
        <v>0</v>
      </c>
      <c r="AA1068" s="31">
        <f t="shared" si="466"/>
        <v>0</v>
      </c>
      <c r="AB1068" s="31">
        <f t="shared" si="466"/>
        <v>0</v>
      </c>
      <c r="AC1068" s="31">
        <f t="shared" si="466"/>
        <v>38183.18</v>
      </c>
      <c r="AD1068" s="31">
        <f t="shared" si="466"/>
        <v>190000</v>
      </c>
      <c r="AE1068" s="31">
        <f t="shared" si="466"/>
        <v>0</v>
      </c>
      <c r="AF1068" s="72" t="s">
        <v>794</v>
      </c>
      <c r="AG1068" s="72" t="s">
        <v>794</v>
      </c>
      <c r="AH1068" s="91" t="s">
        <v>794</v>
      </c>
      <c r="AT1068" s="20" t="e">
        <f t="shared" si="454"/>
        <v>#N/A</v>
      </c>
    </row>
    <row r="1069" spans="1:46" ht="61.5" x14ac:dyDescent="0.85">
      <c r="A1069" s="20">
        <v>1</v>
      </c>
      <c r="B1069" s="66">
        <f>SUBTOTAL(103,$A$929:A1069)</f>
        <v>130</v>
      </c>
      <c r="C1069" s="24" t="s">
        <v>722</v>
      </c>
      <c r="D1069" s="31">
        <f t="shared" ref="D1069:D1070" si="467">E1069+F1069+G1069+H1069+I1069+J1069+L1069+N1069+P1069+R1069+T1069+U1069+V1069+W1069+X1069+Y1069+Z1069+AA1069+AB1069+AC1069+AD1069+AE1069</f>
        <v>2539091.92</v>
      </c>
      <c r="E1069" s="31">
        <v>0</v>
      </c>
      <c r="F1069" s="31">
        <v>0</v>
      </c>
      <c r="G1069" s="31">
        <v>0</v>
      </c>
      <c r="H1069" s="31">
        <v>0</v>
      </c>
      <c r="I1069" s="31">
        <v>0</v>
      </c>
      <c r="J1069" s="31">
        <v>0</v>
      </c>
      <c r="K1069" s="33">
        <v>0</v>
      </c>
      <c r="L1069" s="31">
        <v>0</v>
      </c>
      <c r="M1069" s="31">
        <v>628</v>
      </c>
      <c r="N1069" s="31">
        <v>2353785.14</v>
      </c>
      <c r="O1069" s="31">
        <v>0</v>
      </c>
      <c r="P1069" s="31">
        <v>0</v>
      </c>
      <c r="Q1069" s="31">
        <v>0</v>
      </c>
      <c r="R1069" s="31">
        <v>0</v>
      </c>
      <c r="S1069" s="31">
        <v>0</v>
      </c>
      <c r="T1069" s="31">
        <v>0</v>
      </c>
      <c r="U1069" s="31">
        <v>0</v>
      </c>
      <c r="V1069" s="31">
        <v>0</v>
      </c>
      <c r="W1069" s="31">
        <v>0</v>
      </c>
      <c r="X1069" s="31">
        <v>0</v>
      </c>
      <c r="Y1069" s="31">
        <v>0</v>
      </c>
      <c r="Z1069" s="31">
        <v>0</v>
      </c>
      <c r="AA1069" s="31">
        <v>0</v>
      </c>
      <c r="AB1069" s="31">
        <v>0</v>
      </c>
      <c r="AC1069" s="31">
        <f>ROUND(N1069*1.5%,2)</f>
        <v>35306.78</v>
      </c>
      <c r="AD1069" s="31">
        <v>150000</v>
      </c>
      <c r="AE1069" s="31">
        <v>0</v>
      </c>
      <c r="AF1069" s="34">
        <v>2022</v>
      </c>
      <c r="AG1069" s="34">
        <v>2022</v>
      </c>
      <c r="AH1069" s="35">
        <v>2022</v>
      </c>
      <c r="AT1069" s="20" t="e">
        <f t="shared" si="454"/>
        <v>#N/A</v>
      </c>
    </row>
    <row r="1070" spans="1:46" ht="61.5" x14ac:dyDescent="0.85">
      <c r="A1070" s="20">
        <v>1</v>
      </c>
      <c r="B1070" s="66">
        <f>SUBTOTAL(103,$A$929:A1070)</f>
        <v>131</v>
      </c>
      <c r="C1070" s="24" t="s">
        <v>733</v>
      </c>
      <c r="D1070" s="31">
        <f t="shared" si="467"/>
        <v>234636.54</v>
      </c>
      <c r="E1070" s="31">
        <v>0</v>
      </c>
      <c r="F1070" s="31">
        <v>0</v>
      </c>
      <c r="G1070" s="31">
        <v>0</v>
      </c>
      <c r="H1070" s="31">
        <v>0</v>
      </c>
      <c r="I1070" s="31">
        <v>191760.14</v>
      </c>
      <c r="J1070" s="31">
        <v>0</v>
      </c>
      <c r="K1070" s="33">
        <v>0</v>
      </c>
      <c r="L1070" s="31">
        <v>0</v>
      </c>
      <c r="M1070" s="31">
        <v>0</v>
      </c>
      <c r="N1070" s="31">
        <v>0</v>
      </c>
      <c r="O1070" s="31">
        <v>0</v>
      </c>
      <c r="P1070" s="31">
        <v>0</v>
      </c>
      <c r="Q1070" s="31">
        <v>0</v>
      </c>
      <c r="R1070" s="31">
        <v>0</v>
      </c>
      <c r="S1070" s="31">
        <v>0</v>
      </c>
      <c r="T1070" s="31">
        <v>0</v>
      </c>
      <c r="U1070" s="31">
        <v>0</v>
      </c>
      <c r="V1070" s="31">
        <v>0</v>
      </c>
      <c r="W1070" s="31">
        <v>0</v>
      </c>
      <c r="X1070" s="31">
        <v>0</v>
      </c>
      <c r="Y1070" s="31">
        <v>0</v>
      </c>
      <c r="Z1070" s="31">
        <v>0</v>
      </c>
      <c r="AA1070" s="31">
        <v>0</v>
      </c>
      <c r="AB1070" s="31">
        <v>0</v>
      </c>
      <c r="AC1070" s="31">
        <f t="shared" ref="AC1070" si="468">ROUND((E1070+F1070+G1070+H1070+I1070+J1070)*1.5%,2)</f>
        <v>2876.4</v>
      </c>
      <c r="AD1070" s="31">
        <v>40000</v>
      </c>
      <c r="AE1070" s="31">
        <v>0</v>
      </c>
      <c r="AF1070" s="34">
        <v>2022</v>
      </c>
      <c r="AG1070" s="34">
        <v>2022</v>
      </c>
      <c r="AH1070" s="35">
        <v>2022</v>
      </c>
      <c r="AT1070" s="20" t="e">
        <f t="shared" si="454"/>
        <v>#N/A</v>
      </c>
    </row>
    <row r="1071" spans="1:46" ht="61.5" x14ac:dyDescent="0.85">
      <c r="B1071" s="24" t="s">
        <v>928</v>
      </c>
      <c r="C1071" s="24"/>
      <c r="D1071" s="31">
        <f>D1072</f>
        <v>2158336.3499999996</v>
      </c>
      <c r="E1071" s="31">
        <f t="shared" ref="E1071:AE1071" si="469">E1072</f>
        <v>0</v>
      </c>
      <c r="F1071" s="31">
        <f t="shared" si="469"/>
        <v>0</v>
      </c>
      <c r="G1071" s="31">
        <f t="shared" si="469"/>
        <v>0</v>
      </c>
      <c r="H1071" s="31">
        <f t="shared" si="469"/>
        <v>0</v>
      </c>
      <c r="I1071" s="31">
        <f t="shared" si="469"/>
        <v>0</v>
      </c>
      <c r="J1071" s="31">
        <f t="shared" si="469"/>
        <v>0</v>
      </c>
      <c r="K1071" s="33">
        <f t="shared" si="469"/>
        <v>0</v>
      </c>
      <c r="L1071" s="31">
        <f t="shared" si="469"/>
        <v>0</v>
      </c>
      <c r="M1071" s="31">
        <f t="shared" si="469"/>
        <v>393</v>
      </c>
      <c r="N1071" s="31">
        <f t="shared" si="469"/>
        <v>2008213.15</v>
      </c>
      <c r="O1071" s="31">
        <f t="shared" si="469"/>
        <v>0</v>
      </c>
      <c r="P1071" s="31">
        <f t="shared" si="469"/>
        <v>0</v>
      </c>
      <c r="Q1071" s="31">
        <f t="shared" si="469"/>
        <v>0</v>
      </c>
      <c r="R1071" s="31">
        <f t="shared" si="469"/>
        <v>0</v>
      </c>
      <c r="S1071" s="31">
        <f t="shared" si="469"/>
        <v>0</v>
      </c>
      <c r="T1071" s="31">
        <f t="shared" si="469"/>
        <v>0</v>
      </c>
      <c r="U1071" s="31">
        <f t="shared" si="469"/>
        <v>0</v>
      </c>
      <c r="V1071" s="31">
        <f t="shared" si="469"/>
        <v>0</v>
      </c>
      <c r="W1071" s="31">
        <f t="shared" si="469"/>
        <v>0</v>
      </c>
      <c r="X1071" s="31">
        <f t="shared" si="469"/>
        <v>0</v>
      </c>
      <c r="Y1071" s="31">
        <f t="shared" si="469"/>
        <v>0</v>
      </c>
      <c r="Z1071" s="31">
        <f t="shared" si="469"/>
        <v>0</v>
      </c>
      <c r="AA1071" s="31">
        <f t="shared" si="469"/>
        <v>0</v>
      </c>
      <c r="AB1071" s="31">
        <f t="shared" si="469"/>
        <v>0</v>
      </c>
      <c r="AC1071" s="31">
        <f t="shared" si="469"/>
        <v>30123.200000000001</v>
      </c>
      <c r="AD1071" s="31">
        <f t="shared" si="469"/>
        <v>120000</v>
      </c>
      <c r="AE1071" s="31">
        <f t="shared" si="469"/>
        <v>0</v>
      </c>
      <c r="AF1071" s="72" t="s">
        <v>794</v>
      </c>
      <c r="AG1071" s="72" t="s">
        <v>794</v>
      </c>
      <c r="AH1071" s="91" t="s">
        <v>794</v>
      </c>
      <c r="AT1071" s="20" t="e">
        <f t="shared" si="454"/>
        <v>#N/A</v>
      </c>
    </row>
    <row r="1072" spans="1:46" ht="61.5" x14ac:dyDescent="0.85">
      <c r="A1072" s="20">
        <v>1</v>
      </c>
      <c r="B1072" s="66">
        <f>SUBTOTAL(103,$A$929:A1072)</f>
        <v>132</v>
      </c>
      <c r="C1072" s="24" t="s">
        <v>714</v>
      </c>
      <c r="D1072" s="31">
        <f t="shared" ref="D1072" si="470">E1072+F1072+G1072+H1072+I1072+J1072+L1072+N1072+P1072+R1072+T1072+U1072+V1072+W1072+X1072+Y1072+Z1072+AA1072+AB1072+AC1072+AD1072+AE1072</f>
        <v>2158336.3499999996</v>
      </c>
      <c r="E1072" s="31">
        <v>0</v>
      </c>
      <c r="F1072" s="31">
        <v>0</v>
      </c>
      <c r="G1072" s="31">
        <v>0</v>
      </c>
      <c r="H1072" s="31">
        <v>0</v>
      </c>
      <c r="I1072" s="31">
        <v>0</v>
      </c>
      <c r="J1072" s="31">
        <v>0</v>
      </c>
      <c r="K1072" s="33">
        <v>0</v>
      </c>
      <c r="L1072" s="31">
        <v>0</v>
      </c>
      <c r="M1072" s="31">
        <v>393</v>
      </c>
      <c r="N1072" s="31">
        <v>2008213.15</v>
      </c>
      <c r="O1072" s="31">
        <v>0</v>
      </c>
      <c r="P1072" s="31">
        <v>0</v>
      </c>
      <c r="Q1072" s="31">
        <v>0</v>
      </c>
      <c r="R1072" s="31">
        <v>0</v>
      </c>
      <c r="S1072" s="31">
        <v>0</v>
      </c>
      <c r="T1072" s="31">
        <v>0</v>
      </c>
      <c r="U1072" s="31">
        <v>0</v>
      </c>
      <c r="V1072" s="31">
        <v>0</v>
      </c>
      <c r="W1072" s="31">
        <v>0</v>
      </c>
      <c r="X1072" s="31">
        <v>0</v>
      </c>
      <c r="Y1072" s="31">
        <v>0</v>
      </c>
      <c r="Z1072" s="31">
        <v>0</v>
      </c>
      <c r="AA1072" s="31">
        <v>0</v>
      </c>
      <c r="AB1072" s="31">
        <v>0</v>
      </c>
      <c r="AC1072" s="31">
        <f>ROUND(N1072*1.5%,2)</f>
        <v>30123.200000000001</v>
      </c>
      <c r="AD1072" s="31">
        <v>120000</v>
      </c>
      <c r="AE1072" s="31">
        <v>0</v>
      </c>
      <c r="AF1072" s="34">
        <v>2022</v>
      </c>
      <c r="AG1072" s="34">
        <v>2022</v>
      </c>
      <c r="AH1072" s="35">
        <v>2022</v>
      </c>
      <c r="AT1072" s="20" t="e">
        <f t="shared" si="454"/>
        <v>#N/A</v>
      </c>
    </row>
    <row r="1073" spans="1:46" ht="61.5" x14ac:dyDescent="0.85">
      <c r="B1073" s="24" t="s">
        <v>865</v>
      </c>
      <c r="C1073" s="24"/>
      <c r="D1073" s="31">
        <f>D1074</f>
        <v>2000000</v>
      </c>
      <c r="E1073" s="31">
        <f t="shared" ref="E1073:AE1073" si="471">E1074</f>
        <v>0</v>
      </c>
      <c r="F1073" s="31">
        <f t="shared" si="471"/>
        <v>0</v>
      </c>
      <c r="G1073" s="31">
        <f t="shared" si="471"/>
        <v>0</v>
      </c>
      <c r="H1073" s="31">
        <f t="shared" si="471"/>
        <v>0</v>
      </c>
      <c r="I1073" s="31">
        <f t="shared" si="471"/>
        <v>0</v>
      </c>
      <c r="J1073" s="31">
        <f t="shared" si="471"/>
        <v>0</v>
      </c>
      <c r="K1073" s="33">
        <f t="shared" si="471"/>
        <v>0</v>
      </c>
      <c r="L1073" s="31">
        <f t="shared" si="471"/>
        <v>0</v>
      </c>
      <c r="M1073" s="31">
        <f t="shared" si="471"/>
        <v>674.9</v>
      </c>
      <c r="N1073" s="31">
        <f t="shared" si="471"/>
        <v>1822660.1</v>
      </c>
      <c r="O1073" s="31">
        <f t="shared" si="471"/>
        <v>0</v>
      </c>
      <c r="P1073" s="31">
        <f t="shared" si="471"/>
        <v>0</v>
      </c>
      <c r="Q1073" s="31">
        <f t="shared" si="471"/>
        <v>0</v>
      </c>
      <c r="R1073" s="31">
        <f t="shared" si="471"/>
        <v>0</v>
      </c>
      <c r="S1073" s="31">
        <f t="shared" si="471"/>
        <v>0</v>
      </c>
      <c r="T1073" s="31">
        <f t="shared" si="471"/>
        <v>0</v>
      </c>
      <c r="U1073" s="31">
        <f t="shared" si="471"/>
        <v>0</v>
      </c>
      <c r="V1073" s="31">
        <f t="shared" si="471"/>
        <v>0</v>
      </c>
      <c r="W1073" s="31">
        <f t="shared" si="471"/>
        <v>0</v>
      </c>
      <c r="X1073" s="31">
        <f t="shared" si="471"/>
        <v>0</v>
      </c>
      <c r="Y1073" s="31">
        <f t="shared" si="471"/>
        <v>0</v>
      </c>
      <c r="Z1073" s="31">
        <f t="shared" si="471"/>
        <v>0</v>
      </c>
      <c r="AA1073" s="31">
        <f t="shared" si="471"/>
        <v>0</v>
      </c>
      <c r="AB1073" s="31">
        <f t="shared" si="471"/>
        <v>0</v>
      </c>
      <c r="AC1073" s="31">
        <f t="shared" si="471"/>
        <v>27339.9</v>
      </c>
      <c r="AD1073" s="31">
        <f t="shared" si="471"/>
        <v>150000</v>
      </c>
      <c r="AE1073" s="31">
        <f t="shared" si="471"/>
        <v>0</v>
      </c>
      <c r="AF1073" s="72" t="s">
        <v>794</v>
      </c>
      <c r="AG1073" s="72" t="s">
        <v>794</v>
      </c>
      <c r="AH1073" s="91" t="s">
        <v>794</v>
      </c>
      <c r="AT1073" s="20" t="e">
        <f t="shared" si="454"/>
        <v>#N/A</v>
      </c>
    </row>
    <row r="1074" spans="1:46" ht="61.5" x14ac:dyDescent="0.85">
      <c r="A1074" s="20">
        <v>1</v>
      </c>
      <c r="B1074" s="66">
        <f>SUBTOTAL(103,$A$929:A1074)</f>
        <v>133</v>
      </c>
      <c r="C1074" s="24" t="s">
        <v>729</v>
      </c>
      <c r="D1074" s="31">
        <f t="shared" ref="D1074" si="472">E1074+F1074+G1074+H1074+I1074+J1074+L1074+N1074+P1074+R1074+T1074+U1074+V1074+W1074+X1074+Y1074+Z1074+AA1074+AB1074+AC1074+AD1074+AE1074</f>
        <v>2000000</v>
      </c>
      <c r="E1074" s="31">
        <v>0</v>
      </c>
      <c r="F1074" s="31">
        <v>0</v>
      </c>
      <c r="G1074" s="31">
        <v>0</v>
      </c>
      <c r="H1074" s="31">
        <v>0</v>
      </c>
      <c r="I1074" s="31">
        <v>0</v>
      </c>
      <c r="J1074" s="31">
        <v>0</v>
      </c>
      <c r="K1074" s="33">
        <v>0</v>
      </c>
      <c r="L1074" s="31">
        <v>0</v>
      </c>
      <c r="M1074" s="31">
        <v>674.9</v>
      </c>
      <c r="N1074" s="31">
        <v>1822660.1</v>
      </c>
      <c r="O1074" s="31">
        <v>0</v>
      </c>
      <c r="P1074" s="31">
        <v>0</v>
      </c>
      <c r="Q1074" s="31">
        <v>0</v>
      </c>
      <c r="R1074" s="31">
        <v>0</v>
      </c>
      <c r="S1074" s="31">
        <v>0</v>
      </c>
      <c r="T1074" s="31">
        <v>0</v>
      </c>
      <c r="U1074" s="31">
        <v>0</v>
      </c>
      <c r="V1074" s="31">
        <v>0</v>
      </c>
      <c r="W1074" s="31">
        <v>0</v>
      </c>
      <c r="X1074" s="31">
        <v>0</v>
      </c>
      <c r="Y1074" s="31">
        <v>0</v>
      </c>
      <c r="Z1074" s="31">
        <v>0</v>
      </c>
      <c r="AA1074" s="31">
        <v>0</v>
      </c>
      <c r="AB1074" s="31">
        <v>0</v>
      </c>
      <c r="AC1074" s="31">
        <f>ROUND(N1074*1.5%,2)</f>
        <v>27339.9</v>
      </c>
      <c r="AD1074" s="31">
        <v>150000</v>
      </c>
      <c r="AE1074" s="31">
        <v>0</v>
      </c>
      <c r="AF1074" s="34">
        <v>2022</v>
      </c>
      <c r="AG1074" s="34">
        <v>2022</v>
      </c>
      <c r="AH1074" s="35">
        <v>2022</v>
      </c>
      <c r="AT1074" s="20" t="e">
        <f t="shared" si="454"/>
        <v>#N/A</v>
      </c>
    </row>
    <row r="1075" spans="1:46" ht="61.5" x14ac:dyDescent="0.85">
      <c r="B1075" s="24" t="s">
        <v>866</v>
      </c>
      <c r="C1075" s="24"/>
      <c r="D1075" s="31">
        <f>SUM(D1076:D1082)</f>
        <v>23342011.919999998</v>
      </c>
      <c r="E1075" s="31">
        <f t="shared" ref="E1075:AE1075" si="473">SUM(E1076:E1082)</f>
        <v>0</v>
      </c>
      <c r="F1075" s="31">
        <f t="shared" si="473"/>
        <v>0</v>
      </c>
      <c r="G1075" s="31">
        <f t="shared" si="473"/>
        <v>0</v>
      </c>
      <c r="H1075" s="31">
        <f t="shared" si="473"/>
        <v>0</v>
      </c>
      <c r="I1075" s="31">
        <f t="shared" si="473"/>
        <v>0</v>
      </c>
      <c r="J1075" s="31">
        <f t="shared" si="473"/>
        <v>0</v>
      </c>
      <c r="K1075" s="33">
        <f t="shared" si="473"/>
        <v>2</v>
      </c>
      <c r="L1075" s="31">
        <f t="shared" si="473"/>
        <v>4396606</v>
      </c>
      <c r="M1075" s="31">
        <f t="shared" si="473"/>
        <v>3160.6</v>
      </c>
      <c r="N1075" s="31">
        <f t="shared" si="473"/>
        <v>14844392.530000001</v>
      </c>
      <c r="O1075" s="31">
        <f t="shared" si="473"/>
        <v>0</v>
      </c>
      <c r="P1075" s="31">
        <f t="shared" si="473"/>
        <v>0</v>
      </c>
      <c r="Q1075" s="31">
        <f t="shared" si="473"/>
        <v>585.5</v>
      </c>
      <c r="R1075" s="31">
        <f t="shared" si="473"/>
        <v>2766844.83</v>
      </c>
      <c r="S1075" s="31">
        <f t="shared" si="473"/>
        <v>0</v>
      </c>
      <c r="T1075" s="31">
        <f t="shared" si="473"/>
        <v>0</v>
      </c>
      <c r="U1075" s="31">
        <f t="shared" si="473"/>
        <v>0</v>
      </c>
      <c r="V1075" s="31">
        <f t="shared" si="473"/>
        <v>0</v>
      </c>
      <c r="W1075" s="31">
        <f t="shared" si="473"/>
        <v>0</v>
      </c>
      <c r="X1075" s="31">
        <f t="shared" si="473"/>
        <v>0</v>
      </c>
      <c r="Y1075" s="31">
        <f t="shared" si="473"/>
        <v>0</v>
      </c>
      <c r="Z1075" s="31">
        <f t="shared" si="473"/>
        <v>0</v>
      </c>
      <c r="AA1075" s="31">
        <f t="shared" si="473"/>
        <v>0</v>
      </c>
      <c r="AB1075" s="31">
        <f t="shared" si="473"/>
        <v>0</v>
      </c>
      <c r="AC1075" s="31">
        <f t="shared" si="473"/>
        <v>264168.56</v>
      </c>
      <c r="AD1075" s="31">
        <f t="shared" si="473"/>
        <v>950000</v>
      </c>
      <c r="AE1075" s="31">
        <f t="shared" si="473"/>
        <v>120000</v>
      </c>
      <c r="AF1075" s="72" t="s">
        <v>794</v>
      </c>
      <c r="AG1075" s="72" t="s">
        <v>794</v>
      </c>
      <c r="AH1075" s="91" t="s">
        <v>794</v>
      </c>
      <c r="AT1075" s="20" t="e">
        <f t="shared" si="454"/>
        <v>#N/A</v>
      </c>
    </row>
    <row r="1076" spans="1:46" ht="61.5" x14ac:dyDescent="0.85">
      <c r="A1076" s="20">
        <v>1</v>
      </c>
      <c r="B1076" s="66">
        <f>SUBTOTAL(103,$A$929:A1076)</f>
        <v>134</v>
      </c>
      <c r="C1076" s="24" t="s">
        <v>701</v>
      </c>
      <c r="D1076" s="31">
        <f t="shared" ref="D1076:D1082" si="474">E1076+F1076+G1076+H1076+I1076+J1076+L1076+N1076+P1076+R1076+T1076+U1076+V1076+W1076+X1076+Y1076+Z1076+AA1076+AB1076+AC1076+AD1076+AE1076</f>
        <v>1358190.18</v>
      </c>
      <c r="E1076" s="31">
        <v>0</v>
      </c>
      <c r="F1076" s="31">
        <v>0</v>
      </c>
      <c r="G1076" s="31">
        <v>0</v>
      </c>
      <c r="H1076" s="31">
        <v>0</v>
      </c>
      <c r="I1076" s="31">
        <v>0</v>
      </c>
      <c r="J1076" s="31">
        <v>0</v>
      </c>
      <c r="K1076" s="33">
        <v>0</v>
      </c>
      <c r="L1076" s="31">
        <v>0</v>
      </c>
      <c r="M1076" s="31">
        <v>260.10000000000002</v>
      </c>
      <c r="N1076" s="31">
        <v>1219891.8</v>
      </c>
      <c r="O1076" s="31">
        <v>0</v>
      </c>
      <c r="P1076" s="31">
        <v>0</v>
      </c>
      <c r="Q1076" s="31">
        <v>0</v>
      </c>
      <c r="R1076" s="31">
        <v>0</v>
      </c>
      <c r="S1076" s="31">
        <v>0</v>
      </c>
      <c r="T1076" s="31">
        <v>0</v>
      </c>
      <c r="U1076" s="31">
        <v>0</v>
      </c>
      <c r="V1076" s="31">
        <v>0</v>
      </c>
      <c r="W1076" s="31">
        <v>0</v>
      </c>
      <c r="X1076" s="31">
        <v>0</v>
      </c>
      <c r="Y1076" s="31">
        <v>0</v>
      </c>
      <c r="Z1076" s="31">
        <v>0</v>
      </c>
      <c r="AA1076" s="31">
        <v>0</v>
      </c>
      <c r="AB1076" s="31">
        <v>0</v>
      </c>
      <c r="AC1076" s="31">
        <f t="shared" ref="AC1076:AC1078" si="475">ROUND(N1076*1.5%,2)</f>
        <v>18298.38</v>
      </c>
      <c r="AD1076" s="31">
        <v>120000</v>
      </c>
      <c r="AE1076" s="31">
        <v>0</v>
      </c>
      <c r="AF1076" s="34">
        <v>2022</v>
      </c>
      <c r="AG1076" s="34">
        <v>2022</v>
      </c>
      <c r="AH1076" s="35">
        <v>2022</v>
      </c>
      <c r="AT1076" s="20" t="e">
        <f t="shared" si="454"/>
        <v>#N/A</v>
      </c>
    </row>
    <row r="1077" spans="1:46" ht="61.5" x14ac:dyDescent="0.85">
      <c r="A1077" s="20">
        <v>1</v>
      </c>
      <c r="B1077" s="66">
        <f>SUBTOTAL(103,$A$929:A1077)</f>
        <v>135</v>
      </c>
      <c r="C1077" s="24" t="s">
        <v>702</v>
      </c>
      <c r="D1077" s="31">
        <f t="shared" si="474"/>
        <v>3973325</v>
      </c>
      <c r="E1077" s="31">
        <v>0</v>
      </c>
      <c r="F1077" s="31">
        <v>0</v>
      </c>
      <c r="G1077" s="31">
        <v>0</v>
      </c>
      <c r="H1077" s="31">
        <v>0</v>
      </c>
      <c r="I1077" s="31">
        <v>0</v>
      </c>
      <c r="J1077" s="31">
        <v>0</v>
      </c>
      <c r="K1077" s="33">
        <v>0</v>
      </c>
      <c r="L1077" s="31">
        <v>0</v>
      </c>
      <c r="M1077" s="31">
        <v>850</v>
      </c>
      <c r="N1077" s="31">
        <v>3766822.66</v>
      </c>
      <c r="O1077" s="31">
        <v>0</v>
      </c>
      <c r="P1077" s="31">
        <v>0</v>
      </c>
      <c r="Q1077" s="31">
        <v>0</v>
      </c>
      <c r="R1077" s="31">
        <v>0</v>
      </c>
      <c r="S1077" s="31">
        <v>0</v>
      </c>
      <c r="T1077" s="31">
        <v>0</v>
      </c>
      <c r="U1077" s="31">
        <v>0</v>
      </c>
      <c r="V1077" s="31">
        <v>0</v>
      </c>
      <c r="W1077" s="31">
        <v>0</v>
      </c>
      <c r="X1077" s="31">
        <v>0</v>
      </c>
      <c r="Y1077" s="31">
        <v>0</v>
      </c>
      <c r="Z1077" s="31">
        <v>0</v>
      </c>
      <c r="AA1077" s="31">
        <v>0</v>
      </c>
      <c r="AB1077" s="31">
        <v>0</v>
      </c>
      <c r="AC1077" s="31">
        <f t="shared" si="475"/>
        <v>56502.34</v>
      </c>
      <c r="AD1077" s="31">
        <v>150000</v>
      </c>
      <c r="AE1077" s="31">
        <v>0</v>
      </c>
      <c r="AF1077" s="34">
        <v>2022</v>
      </c>
      <c r="AG1077" s="34">
        <v>2022</v>
      </c>
      <c r="AH1077" s="35">
        <v>2022</v>
      </c>
      <c r="AT1077" s="20" t="e">
        <f t="shared" si="454"/>
        <v>#N/A</v>
      </c>
    </row>
    <row r="1078" spans="1:46" ht="61.5" x14ac:dyDescent="0.85">
      <c r="A1078" s="20">
        <v>1</v>
      </c>
      <c r="B1078" s="66">
        <f>SUBTOTAL(103,$A$929:A1078)</f>
        <v>136</v>
      </c>
      <c r="C1078" s="24" t="s">
        <v>727</v>
      </c>
      <c r="D1078" s="31">
        <f t="shared" si="474"/>
        <v>2687908</v>
      </c>
      <c r="E1078" s="31">
        <v>0</v>
      </c>
      <c r="F1078" s="31">
        <v>0</v>
      </c>
      <c r="G1078" s="31">
        <v>0</v>
      </c>
      <c r="H1078" s="31">
        <v>0</v>
      </c>
      <c r="I1078" s="31">
        <v>0</v>
      </c>
      <c r="J1078" s="31">
        <v>0</v>
      </c>
      <c r="K1078" s="33">
        <v>0</v>
      </c>
      <c r="L1078" s="31">
        <v>0</v>
      </c>
      <c r="M1078" s="31">
        <v>550.5</v>
      </c>
      <c r="N1078" s="31">
        <v>2500401.9700000002</v>
      </c>
      <c r="O1078" s="31">
        <v>0</v>
      </c>
      <c r="P1078" s="31">
        <v>0</v>
      </c>
      <c r="Q1078" s="31">
        <v>0</v>
      </c>
      <c r="R1078" s="31">
        <v>0</v>
      </c>
      <c r="S1078" s="31">
        <v>0</v>
      </c>
      <c r="T1078" s="31">
        <v>0</v>
      </c>
      <c r="U1078" s="31">
        <v>0</v>
      </c>
      <c r="V1078" s="31">
        <v>0</v>
      </c>
      <c r="W1078" s="31">
        <v>0</v>
      </c>
      <c r="X1078" s="31">
        <v>0</v>
      </c>
      <c r="Y1078" s="31">
        <v>0</v>
      </c>
      <c r="Z1078" s="31">
        <v>0</v>
      </c>
      <c r="AA1078" s="31">
        <v>0</v>
      </c>
      <c r="AB1078" s="31">
        <v>0</v>
      </c>
      <c r="AC1078" s="31">
        <f t="shared" si="475"/>
        <v>37506.03</v>
      </c>
      <c r="AD1078" s="31">
        <v>150000</v>
      </c>
      <c r="AE1078" s="31">
        <v>0</v>
      </c>
      <c r="AF1078" s="34">
        <v>2022</v>
      </c>
      <c r="AG1078" s="34">
        <v>2022</v>
      </c>
      <c r="AH1078" s="35">
        <v>2022</v>
      </c>
      <c r="AT1078" s="20" t="e">
        <f t="shared" si="454"/>
        <v>#N/A</v>
      </c>
    </row>
    <row r="1079" spans="1:46" ht="61.5" x14ac:dyDescent="0.85">
      <c r="A1079" s="20">
        <v>1</v>
      </c>
      <c r="B1079" s="66">
        <f>SUBTOTAL(103,$A$929:A1079)</f>
        <v>137</v>
      </c>
      <c r="C1079" s="24" t="s">
        <v>711</v>
      </c>
      <c r="D1079" s="31">
        <f t="shared" si="474"/>
        <v>3058347.5</v>
      </c>
      <c r="E1079" s="31">
        <v>0</v>
      </c>
      <c r="F1079" s="31">
        <v>0</v>
      </c>
      <c r="G1079" s="31">
        <v>0</v>
      </c>
      <c r="H1079" s="31">
        <v>0</v>
      </c>
      <c r="I1079" s="31">
        <v>0</v>
      </c>
      <c r="J1079" s="31">
        <v>0</v>
      </c>
      <c r="K1079" s="33">
        <v>0</v>
      </c>
      <c r="L1079" s="31">
        <v>0</v>
      </c>
      <c r="M1079" s="31">
        <v>0</v>
      </c>
      <c r="N1079" s="31">
        <v>0</v>
      </c>
      <c r="O1079" s="31">
        <v>0</v>
      </c>
      <c r="P1079" s="31">
        <v>0</v>
      </c>
      <c r="Q1079" s="31">
        <v>585.5</v>
      </c>
      <c r="R1079" s="31">
        <f>2885071.43-118226.6</f>
        <v>2766844.83</v>
      </c>
      <c r="S1079" s="31">
        <v>0</v>
      </c>
      <c r="T1079" s="31">
        <v>0</v>
      </c>
      <c r="U1079" s="31">
        <v>0</v>
      </c>
      <c r="V1079" s="31">
        <v>0</v>
      </c>
      <c r="W1079" s="31">
        <v>0</v>
      </c>
      <c r="X1079" s="31">
        <v>0</v>
      </c>
      <c r="Y1079" s="31">
        <v>0</v>
      </c>
      <c r="Z1079" s="31">
        <v>0</v>
      </c>
      <c r="AA1079" s="31">
        <v>0</v>
      </c>
      <c r="AB1079" s="31">
        <v>0</v>
      </c>
      <c r="AC1079" s="31">
        <f t="shared" ref="AC1079" si="476">ROUND(R1079*1.5%,2)</f>
        <v>41502.67</v>
      </c>
      <c r="AD1079" s="31">
        <v>130000</v>
      </c>
      <c r="AE1079" s="31">
        <v>120000</v>
      </c>
      <c r="AF1079" s="34">
        <v>2022</v>
      </c>
      <c r="AG1079" s="34">
        <v>2022</v>
      </c>
      <c r="AH1079" s="35">
        <v>2022</v>
      </c>
      <c r="AT1079" s="20" t="e">
        <f t="shared" si="454"/>
        <v>#N/A</v>
      </c>
    </row>
    <row r="1080" spans="1:46" ht="61.5" x14ac:dyDescent="0.85">
      <c r="A1080" s="20">
        <v>1</v>
      </c>
      <c r="B1080" s="66">
        <f>SUBTOTAL(103,$A$929:A1080)</f>
        <v>138</v>
      </c>
      <c r="C1080" s="24" t="s">
        <v>710</v>
      </c>
      <c r="D1080" s="31">
        <f t="shared" si="474"/>
        <v>5240868.3999999994</v>
      </c>
      <c r="E1080" s="31">
        <v>0</v>
      </c>
      <c r="F1080" s="31">
        <v>0</v>
      </c>
      <c r="G1080" s="31">
        <v>0</v>
      </c>
      <c r="H1080" s="31">
        <v>0</v>
      </c>
      <c r="I1080" s="31">
        <v>0</v>
      </c>
      <c r="J1080" s="31">
        <v>0</v>
      </c>
      <c r="K1080" s="33">
        <v>0</v>
      </c>
      <c r="L1080" s="31">
        <v>0</v>
      </c>
      <c r="M1080" s="31">
        <v>950</v>
      </c>
      <c r="N1080" s="31">
        <v>5015633.8899999997</v>
      </c>
      <c r="O1080" s="31">
        <v>0</v>
      </c>
      <c r="P1080" s="31">
        <v>0</v>
      </c>
      <c r="Q1080" s="31">
        <v>0</v>
      </c>
      <c r="R1080" s="31">
        <v>0</v>
      </c>
      <c r="S1080" s="31">
        <v>0</v>
      </c>
      <c r="T1080" s="31">
        <v>0</v>
      </c>
      <c r="U1080" s="31">
        <v>0</v>
      </c>
      <c r="V1080" s="31">
        <v>0</v>
      </c>
      <c r="W1080" s="31">
        <v>0</v>
      </c>
      <c r="X1080" s="31">
        <v>0</v>
      </c>
      <c r="Y1080" s="31">
        <v>0</v>
      </c>
      <c r="Z1080" s="31">
        <v>0</v>
      </c>
      <c r="AA1080" s="31">
        <v>0</v>
      </c>
      <c r="AB1080" s="31">
        <v>0</v>
      </c>
      <c r="AC1080" s="31">
        <f t="shared" ref="AC1080:AC1081" si="477">ROUND(N1080*1.5%,2)</f>
        <v>75234.509999999995</v>
      </c>
      <c r="AD1080" s="31">
        <v>150000</v>
      </c>
      <c r="AE1080" s="31">
        <v>0</v>
      </c>
      <c r="AF1080" s="34">
        <v>2022</v>
      </c>
      <c r="AG1080" s="34">
        <v>2022</v>
      </c>
      <c r="AH1080" s="35">
        <v>2022</v>
      </c>
      <c r="AT1080" s="20">
        <f t="shared" si="454"/>
        <v>1</v>
      </c>
    </row>
    <row r="1081" spans="1:46" ht="61.5" x14ac:dyDescent="0.85">
      <c r="A1081" s="20">
        <v>1</v>
      </c>
      <c r="B1081" s="66">
        <f>SUBTOTAL(103,$A$929:A1081)</f>
        <v>139</v>
      </c>
      <c r="C1081" s="24" t="s">
        <v>696</v>
      </c>
      <c r="D1081" s="31">
        <f t="shared" si="474"/>
        <v>2526766.84</v>
      </c>
      <c r="E1081" s="31">
        <v>0</v>
      </c>
      <c r="F1081" s="31">
        <v>0</v>
      </c>
      <c r="G1081" s="31">
        <v>0</v>
      </c>
      <c r="H1081" s="31">
        <v>0</v>
      </c>
      <c r="I1081" s="31">
        <v>0</v>
      </c>
      <c r="J1081" s="31">
        <v>0</v>
      </c>
      <c r="K1081" s="33">
        <v>0</v>
      </c>
      <c r="L1081" s="31">
        <v>0</v>
      </c>
      <c r="M1081" s="31">
        <v>550</v>
      </c>
      <c r="N1081" s="31">
        <v>2341642.21</v>
      </c>
      <c r="O1081" s="31">
        <v>0</v>
      </c>
      <c r="P1081" s="31">
        <v>0</v>
      </c>
      <c r="Q1081" s="31">
        <v>0</v>
      </c>
      <c r="R1081" s="31">
        <v>0</v>
      </c>
      <c r="S1081" s="31">
        <v>0</v>
      </c>
      <c r="T1081" s="31">
        <v>0</v>
      </c>
      <c r="U1081" s="31">
        <v>0</v>
      </c>
      <c r="V1081" s="31">
        <v>0</v>
      </c>
      <c r="W1081" s="31">
        <v>0</v>
      </c>
      <c r="X1081" s="31">
        <v>0</v>
      </c>
      <c r="Y1081" s="31">
        <v>0</v>
      </c>
      <c r="Z1081" s="31">
        <v>0</v>
      </c>
      <c r="AA1081" s="31">
        <v>0</v>
      </c>
      <c r="AB1081" s="31">
        <v>0</v>
      </c>
      <c r="AC1081" s="31">
        <f t="shared" si="477"/>
        <v>35124.629999999997</v>
      </c>
      <c r="AD1081" s="31">
        <v>150000</v>
      </c>
      <c r="AE1081" s="31">
        <v>0</v>
      </c>
      <c r="AF1081" s="34">
        <v>2022</v>
      </c>
      <c r="AG1081" s="34">
        <v>2022</v>
      </c>
      <c r="AH1081" s="35">
        <v>2022</v>
      </c>
      <c r="AT1081" s="20" t="e">
        <f t="shared" si="454"/>
        <v>#N/A</v>
      </c>
    </row>
    <row r="1082" spans="1:46" ht="61.5" x14ac:dyDescent="0.85">
      <c r="A1082" s="20">
        <v>1</v>
      </c>
      <c r="B1082" s="66">
        <f>SUBTOTAL(103,$A$929:A1082)</f>
        <v>140</v>
      </c>
      <c r="C1082" s="24" t="s">
        <v>697</v>
      </c>
      <c r="D1082" s="31">
        <f t="shared" si="474"/>
        <v>4496606</v>
      </c>
      <c r="E1082" s="31">
        <v>0</v>
      </c>
      <c r="F1082" s="31">
        <v>0</v>
      </c>
      <c r="G1082" s="31">
        <v>0</v>
      </c>
      <c r="H1082" s="31">
        <v>0</v>
      </c>
      <c r="I1082" s="31">
        <v>0</v>
      </c>
      <c r="J1082" s="31">
        <v>0</v>
      </c>
      <c r="K1082" s="33">
        <v>2</v>
      </c>
      <c r="L1082" s="31">
        <v>4396606</v>
      </c>
      <c r="M1082" s="31">
        <v>0</v>
      </c>
      <c r="N1082" s="31">
        <v>0</v>
      </c>
      <c r="O1082" s="31">
        <v>0</v>
      </c>
      <c r="P1082" s="31">
        <v>0</v>
      </c>
      <c r="Q1082" s="31">
        <v>0</v>
      </c>
      <c r="R1082" s="31">
        <v>0</v>
      </c>
      <c r="S1082" s="31">
        <v>0</v>
      </c>
      <c r="T1082" s="31">
        <v>0</v>
      </c>
      <c r="U1082" s="31">
        <v>0</v>
      </c>
      <c r="V1082" s="31">
        <v>0</v>
      </c>
      <c r="W1082" s="31">
        <v>0</v>
      </c>
      <c r="X1082" s="31">
        <v>0</v>
      </c>
      <c r="Y1082" s="31">
        <v>0</v>
      </c>
      <c r="Z1082" s="31">
        <v>0</v>
      </c>
      <c r="AA1082" s="31">
        <v>0</v>
      </c>
      <c r="AB1082" s="31">
        <v>0</v>
      </c>
      <c r="AC1082" s="31">
        <v>0</v>
      </c>
      <c r="AD1082" s="31">
        <v>100000</v>
      </c>
      <c r="AE1082" s="31">
        <v>0</v>
      </c>
      <c r="AF1082" s="34">
        <v>2022</v>
      </c>
      <c r="AG1082" s="34">
        <v>2022</v>
      </c>
      <c r="AH1082" s="35" t="s">
        <v>274</v>
      </c>
      <c r="AT1082" s="20" t="e">
        <f t="shared" si="454"/>
        <v>#N/A</v>
      </c>
    </row>
    <row r="1083" spans="1:46" ht="61.5" x14ac:dyDescent="0.85">
      <c r="B1083" s="24" t="s">
        <v>867</v>
      </c>
      <c r="C1083" s="117"/>
      <c r="D1083" s="31">
        <f>D1084+D1085</f>
        <v>12591900</v>
      </c>
      <c r="E1083" s="31">
        <f t="shared" ref="E1083:AE1083" si="478">E1084+E1085</f>
        <v>0</v>
      </c>
      <c r="F1083" s="31">
        <f t="shared" si="478"/>
        <v>0</v>
      </c>
      <c r="G1083" s="31">
        <f t="shared" si="478"/>
        <v>0</v>
      </c>
      <c r="H1083" s="31">
        <f t="shared" si="478"/>
        <v>0</v>
      </c>
      <c r="I1083" s="31">
        <f t="shared" si="478"/>
        <v>0</v>
      </c>
      <c r="J1083" s="31">
        <f t="shared" si="478"/>
        <v>0</v>
      </c>
      <c r="K1083" s="33">
        <f t="shared" si="478"/>
        <v>0</v>
      </c>
      <c r="L1083" s="31">
        <f t="shared" si="478"/>
        <v>0</v>
      </c>
      <c r="M1083" s="31">
        <f t="shared" si="478"/>
        <v>2469</v>
      </c>
      <c r="N1083" s="31">
        <f t="shared" si="478"/>
        <v>12080689.66</v>
      </c>
      <c r="O1083" s="31">
        <f t="shared" si="478"/>
        <v>0</v>
      </c>
      <c r="P1083" s="31">
        <f t="shared" si="478"/>
        <v>0</v>
      </c>
      <c r="Q1083" s="31">
        <f t="shared" si="478"/>
        <v>0</v>
      </c>
      <c r="R1083" s="31">
        <f t="shared" si="478"/>
        <v>0</v>
      </c>
      <c r="S1083" s="31">
        <f t="shared" si="478"/>
        <v>0</v>
      </c>
      <c r="T1083" s="31">
        <f t="shared" si="478"/>
        <v>0</v>
      </c>
      <c r="U1083" s="31">
        <f t="shared" si="478"/>
        <v>0</v>
      </c>
      <c r="V1083" s="31">
        <f t="shared" si="478"/>
        <v>0</v>
      </c>
      <c r="W1083" s="31">
        <f t="shared" si="478"/>
        <v>0</v>
      </c>
      <c r="X1083" s="31">
        <f t="shared" si="478"/>
        <v>0</v>
      </c>
      <c r="Y1083" s="31">
        <f t="shared" si="478"/>
        <v>0</v>
      </c>
      <c r="Z1083" s="31">
        <f t="shared" si="478"/>
        <v>0</v>
      </c>
      <c r="AA1083" s="31">
        <f t="shared" si="478"/>
        <v>0</v>
      </c>
      <c r="AB1083" s="31">
        <f t="shared" si="478"/>
        <v>0</v>
      </c>
      <c r="AC1083" s="31">
        <f t="shared" si="478"/>
        <v>181210.34</v>
      </c>
      <c r="AD1083" s="31">
        <f t="shared" si="478"/>
        <v>330000</v>
      </c>
      <c r="AE1083" s="31">
        <f t="shared" si="478"/>
        <v>0</v>
      </c>
      <c r="AF1083" s="72" t="s">
        <v>794</v>
      </c>
      <c r="AG1083" s="72" t="s">
        <v>794</v>
      </c>
      <c r="AH1083" s="91" t="s">
        <v>794</v>
      </c>
      <c r="AT1083" s="20" t="e">
        <f t="shared" si="454"/>
        <v>#N/A</v>
      </c>
    </row>
    <row r="1084" spans="1:46" ht="61.5" x14ac:dyDescent="0.85">
      <c r="A1084" s="20">
        <v>1</v>
      </c>
      <c r="B1084" s="66">
        <f>SUBTOTAL(103,$A$929:A1084)</f>
        <v>141</v>
      </c>
      <c r="C1084" s="24" t="s">
        <v>239</v>
      </c>
      <c r="D1084" s="31">
        <f t="shared" ref="D1084:D1085" si="479">E1084+F1084+G1084+H1084+I1084+J1084+L1084+N1084+P1084+R1084+T1084+U1084+V1084+W1084+X1084+Y1084+Z1084+AA1084+AB1084+AC1084+AD1084+AE1084</f>
        <v>4620600</v>
      </c>
      <c r="E1084" s="31">
        <v>0</v>
      </c>
      <c r="F1084" s="31">
        <v>0</v>
      </c>
      <c r="G1084" s="31">
        <v>0</v>
      </c>
      <c r="H1084" s="31">
        <v>0</v>
      </c>
      <c r="I1084" s="31">
        <v>0</v>
      </c>
      <c r="J1084" s="31">
        <v>0</v>
      </c>
      <c r="K1084" s="33">
        <v>0</v>
      </c>
      <c r="L1084" s="31">
        <v>0</v>
      </c>
      <c r="M1084" s="31">
        <v>906</v>
      </c>
      <c r="N1084" s="31">
        <v>4404532.0199999996</v>
      </c>
      <c r="O1084" s="31">
        <v>0</v>
      </c>
      <c r="P1084" s="31">
        <v>0</v>
      </c>
      <c r="Q1084" s="31">
        <v>0</v>
      </c>
      <c r="R1084" s="31">
        <v>0</v>
      </c>
      <c r="S1084" s="31">
        <v>0</v>
      </c>
      <c r="T1084" s="31">
        <v>0</v>
      </c>
      <c r="U1084" s="31">
        <v>0</v>
      </c>
      <c r="V1084" s="31">
        <v>0</v>
      </c>
      <c r="W1084" s="31">
        <v>0</v>
      </c>
      <c r="X1084" s="31">
        <v>0</v>
      </c>
      <c r="Y1084" s="31">
        <v>0</v>
      </c>
      <c r="Z1084" s="31">
        <v>0</v>
      </c>
      <c r="AA1084" s="31">
        <v>0</v>
      </c>
      <c r="AB1084" s="31">
        <v>0</v>
      </c>
      <c r="AC1084" s="31">
        <f t="shared" ref="AC1084:AC1085" si="480">ROUND(N1084*1.5%,2)</f>
        <v>66067.98</v>
      </c>
      <c r="AD1084" s="31">
        <v>150000</v>
      </c>
      <c r="AE1084" s="31">
        <v>0</v>
      </c>
      <c r="AF1084" s="34">
        <v>2022</v>
      </c>
      <c r="AG1084" s="34">
        <v>2022</v>
      </c>
      <c r="AH1084" s="35">
        <v>2022</v>
      </c>
      <c r="AT1084" s="20" t="e">
        <f t="shared" si="454"/>
        <v>#N/A</v>
      </c>
    </row>
    <row r="1085" spans="1:46" ht="61.5" x14ac:dyDescent="0.85">
      <c r="A1085" s="20">
        <v>1</v>
      </c>
      <c r="B1085" s="66">
        <f>SUBTOTAL(103,$A$929:A1085)</f>
        <v>142</v>
      </c>
      <c r="C1085" s="24" t="s">
        <v>243</v>
      </c>
      <c r="D1085" s="31">
        <f t="shared" si="479"/>
        <v>7971300</v>
      </c>
      <c r="E1085" s="31">
        <v>0</v>
      </c>
      <c r="F1085" s="31">
        <v>0</v>
      </c>
      <c r="G1085" s="31">
        <v>0</v>
      </c>
      <c r="H1085" s="31">
        <v>0</v>
      </c>
      <c r="I1085" s="31">
        <v>0</v>
      </c>
      <c r="J1085" s="31">
        <v>0</v>
      </c>
      <c r="K1085" s="33">
        <v>0</v>
      </c>
      <c r="L1085" s="31">
        <v>0</v>
      </c>
      <c r="M1085" s="31">
        <v>1563</v>
      </c>
      <c r="N1085" s="31">
        <v>7676157.6399999997</v>
      </c>
      <c r="O1085" s="31">
        <v>0</v>
      </c>
      <c r="P1085" s="31">
        <v>0</v>
      </c>
      <c r="Q1085" s="31">
        <v>0</v>
      </c>
      <c r="R1085" s="31">
        <v>0</v>
      </c>
      <c r="S1085" s="31">
        <v>0</v>
      </c>
      <c r="T1085" s="31">
        <v>0</v>
      </c>
      <c r="U1085" s="31">
        <v>0</v>
      </c>
      <c r="V1085" s="31">
        <v>0</v>
      </c>
      <c r="W1085" s="31">
        <v>0</v>
      </c>
      <c r="X1085" s="31">
        <v>0</v>
      </c>
      <c r="Y1085" s="31">
        <v>0</v>
      </c>
      <c r="Z1085" s="31">
        <v>0</v>
      </c>
      <c r="AA1085" s="31">
        <v>0</v>
      </c>
      <c r="AB1085" s="31">
        <v>0</v>
      </c>
      <c r="AC1085" s="31">
        <f t="shared" si="480"/>
        <v>115142.36</v>
      </c>
      <c r="AD1085" s="31">
        <v>180000</v>
      </c>
      <c r="AE1085" s="31">
        <v>0</v>
      </c>
      <c r="AF1085" s="34">
        <v>2022</v>
      </c>
      <c r="AG1085" s="34">
        <v>2022</v>
      </c>
      <c r="AH1085" s="35">
        <v>2022</v>
      </c>
      <c r="AT1085" s="20" t="e">
        <f t="shared" si="454"/>
        <v>#N/A</v>
      </c>
    </row>
    <row r="1086" spans="1:46" ht="61.5" x14ac:dyDescent="0.85">
      <c r="B1086" s="24" t="s">
        <v>868</v>
      </c>
      <c r="C1086" s="24"/>
      <c r="D1086" s="31">
        <f>D1087</f>
        <v>1724820</v>
      </c>
      <c r="E1086" s="31">
        <f t="shared" ref="E1086:AE1086" si="481">E1087</f>
        <v>0</v>
      </c>
      <c r="F1086" s="31">
        <f t="shared" si="481"/>
        <v>0</v>
      </c>
      <c r="G1086" s="31">
        <f t="shared" si="481"/>
        <v>0</v>
      </c>
      <c r="H1086" s="31">
        <f t="shared" si="481"/>
        <v>0</v>
      </c>
      <c r="I1086" s="31">
        <f t="shared" si="481"/>
        <v>0</v>
      </c>
      <c r="J1086" s="31">
        <f t="shared" si="481"/>
        <v>0</v>
      </c>
      <c r="K1086" s="33">
        <f t="shared" si="481"/>
        <v>0</v>
      </c>
      <c r="L1086" s="31">
        <f t="shared" si="481"/>
        <v>0</v>
      </c>
      <c r="M1086" s="31">
        <f t="shared" si="481"/>
        <v>338.2</v>
      </c>
      <c r="N1086" s="31">
        <f t="shared" si="481"/>
        <v>1581103.45</v>
      </c>
      <c r="O1086" s="31">
        <f t="shared" si="481"/>
        <v>0</v>
      </c>
      <c r="P1086" s="31">
        <f t="shared" si="481"/>
        <v>0</v>
      </c>
      <c r="Q1086" s="31">
        <f t="shared" si="481"/>
        <v>0</v>
      </c>
      <c r="R1086" s="31">
        <f t="shared" si="481"/>
        <v>0</v>
      </c>
      <c r="S1086" s="31">
        <f t="shared" si="481"/>
        <v>0</v>
      </c>
      <c r="T1086" s="31">
        <f t="shared" si="481"/>
        <v>0</v>
      </c>
      <c r="U1086" s="31">
        <f t="shared" si="481"/>
        <v>0</v>
      </c>
      <c r="V1086" s="31">
        <f t="shared" si="481"/>
        <v>0</v>
      </c>
      <c r="W1086" s="31">
        <f t="shared" si="481"/>
        <v>0</v>
      </c>
      <c r="X1086" s="31">
        <f t="shared" si="481"/>
        <v>0</v>
      </c>
      <c r="Y1086" s="31">
        <f t="shared" si="481"/>
        <v>0</v>
      </c>
      <c r="Z1086" s="31">
        <f t="shared" si="481"/>
        <v>0</v>
      </c>
      <c r="AA1086" s="31">
        <f t="shared" si="481"/>
        <v>0</v>
      </c>
      <c r="AB1086" s="31">
        <f t="shared" si="481"/>
        <v>0</v>
      </c>
      <c r="AC1086" s="31">
        <f t="shared" si="481"/>
        <v>23716.55</v>
      </c>
      <c r="AD1086" s="31">
        <f t="shared" si="481"/>
        <v>120000</v>
      </c>
      <c r="AE1086" s="31">
        <f t="shared" si="481"/>
        <v>0</v>
      </c>
      <c r="AF1086" s="72" t="s">
        <v>794</v>
      </c>
      <c r="AG1086" s="72" t="s">
        <v>794</v>
      </c>
      <c r="AH1086" s="91" t="s">
        <v>794</v>
      </c>
      <c r="AT1086" s="20" t="e">
        <f t="shared" si="454"/>
        <v>#N/A</v>
      </c>
    </row>
    <row r="1087" spans="1:46" ht="61.5" x14ac:dyDescent="0.85">
      <c r="A1087" s="20">
        <v>1</v>
      </c>
      <c r="B1087" s="66">
        <f>SUBTOTAL(103,$A$929:A1087)</f>
        <v>143</v>
      </c>
      <c r="C1087" s="24" t="s">
        <v>248</v>
      </c>
      <c r="D1087" s="31">
        <f t="shared" ref="D1087" si="482">E1087+F1087+G1087+H1087+I1087+J1087+L1087+N1087+P1087+R1087+T1087+U1087+V1087+W1087+X1087+Y1087+Z1087+AA1087+AB1087+AC1087+AD1087+AE1087</f>
        <v>1724820</v>
      </c>
      <c r="E1087" s="31">
        <v>0</v>
      </c>
      <c r="F1087" s="31">
        <v>0</v>
      </c>
      <c r="G1087" s="31">
        <v>0</v>
      </c>
      <c r="H1087" s="31">
        <v>0</v>
      </c>
      <c r="I1087" s="31">
        <v>0</v>
      </c>
      <c r="J1087" s="31">
        <v>0</v>
      </c>
      <c r="K1087" s="33">
        <v>0</v>
      </c>
      <c r="L1087" s="31">
        <v>0</v>
      </c>
      <c r="M1087" s="31">
        <v>338.2</v>
      </c>
      <c r="N1087" s="31">
        <v>1581103.45</v>
      </c>
      <c r="O1087" s="31">
        <v>0</v>
      </c>
      <c r="P1087" s="31">
        <v>0</v>
      </c>
      <c r="Q1087" s="31">
        <v>0</v>
      </c>
      <c r="R1087" s="31">
        <v>0</v>
      </c>
      <c r="S1087" s="31">
        <v>0</v>
      </c>
      <c r="T1087" s="31">
        <v>0</v>
      </c>
      <c r="U1087" s="31">
        <v>0</v>
      </c>
      <c r="V1087" s="31">
        <v>0</v>
      </c>
      <c r="W1087" s="31">
        <v>0</v>
      </c>
      <c r="X1087" s="31">
        <v>0</v>
      </c>
      <c r="Y1087" s="31">
        <v>0</v>
      </c>
      <c r="Z1087" s="31">
        <v>0</v>
      </c>
      <c r="AA1087" s="31">
        <v>0</v>
      </c>
      <c r="AB1087" s="31">
        <v>0</v>
      </c>
      <c r="AC1087" s="31">
        <f>ROUND(N1087*1.5%,2)</f>
        <v>23716.55</v>
      </c>
      <c r="AD1087" s="31">
        <v>120000</v>
      </c>
      <c r="AE1087" s="31">
        <v>0</v>
      </c>
      <c r="AF1087" s="34">
        <v>2022</v>
      </c>
      <c r="AG1087" s="34">
        <v>2022</v>
      </c>
      <c r="AH1087" s="35">
        <v>2022</v>
      </c>
      <c r="AT1087" s="20" t="e">
        <f t="shared" si="454"/>
        <v>#N/A</v>
      </c>
    </row>
    <row r="1088" spans="1:46" ht="61.5" x14ac:dyDescent="0.85">
      <c r="B1088" s="24" t="s">
        <v>869</v>
      </c>
      <c r="C1088" s="24"/>
      <c r="D1088" s="31">
        <f>D1089</f>
        <v>1739107.3499999999</v>
      </c>
      <c r="E1088" s="31">
        <f t="shared" ref="E1088:AE1088" si="483">E1089</f>
        <v>0</v>
      </c>
      <c r="F1088" s="31">
        <f t="shared" si="483"/>
        <v>0</v>
      </c>
      <c r="G1088" s="31">
        <f t="shared" si="483"/>
        <v>0</v>
      </c>
      <c r="H1088" s="31">
        <f t="shared" si="483"/>
        <v>0</v>
      </c>
      <c r="I1088" s="31">
        <f t="shared" si="483"/>
        <v>0</v>
      </c>
      <c r="J1088" s="31">
        <f t="shared" si="483"/>
        <v>0</v>
      </c>
      <c r="K1088" s="33">
        <f t="shared" si="483"/>
        <v>0</v>
      </c>
      <c r="L1088" s="31">
        <f t="shared" si="483"/>
        <v>0</v>
      </c>
      <c r="M1088" s="31">
        <f t="shared" si="483"/>
        <v>0</v>
      </c>
      <c r="N1088" s="31">
        <f t="shared" si="483"/>
        <v>0</v>
      </c>
      <c r="O1088" s="31">
        <f t="shared" si="483"/>
        <v>0</v>
      </c>
      <c r="P1088" s="31">
        <f t="shared" si="483"/>
        <v>0</v>
      </c>
      <c r="Q1088" s="31">
        <f t="shared" si="483"/>
        <v>568.70000000000005</v>
      </c>
      <c r="R1088" s="31">
        <f t="shared" si="483"/>
        <v>1585327.44</v>
      </c>
      <c r="S1088" s="31">
        <f t="shared" si="483"/>
        <v>0</v>
      </c>
      <c r="T1088" s="31">
        <f t="shared" si="483"/>
        <v>0</v>
      </c>
      <c r="U1088" s="31">
        <f t="shared" si="483"/>
        <v>0</v>
      </c>
      <c r="V1088" s="31">
        <f t="shared" si="483"/>
        <v>0</v>
      </c>
      <c r="W1088" s="31">
        <f t="shared" si="483"/>
        <v>0</v>
      </c>
      <c r="X1088" s="31">
        <f t="shared" si="483"/>
        <v>0</v>
      </c>
      <c r="Y1088" s="31">
        <f t="shared" si="483"/>
        <v>0</v>
      </c>
      <c r="Z1088" s="31">
        <f t="shared" si="483"/>
        <v>0</v>
      </c>
      <c r="AA1088" s="31">
        <f t="shared" si="483"/>
        <v>0</v>
      </c>
      <c r="AB1088" s="31">
        <f t="shared" si="483"/>
        <v>0</v>
      </c>
      <c r="AC1088" s="31">
        <f t="shared" si="483"/>
        <v>23779.91</v>
      </c>
      <c r="AD1088" s="31">
        <f t="shared" si="483"/>
        <v>130000</v>
      </c>
      <c r="AE1088" s="31">
        <f t="shared" si="483"/>
        <v>0</v>
      </c>
      <c r="AF1088" s="72" t="s">
        <v>794</v>
      </c>
      <c r="AG1088" s="72" t="s">
        <v>794</v>
      </c>
      <c r="AH1088" s="91" t="s">
        <v>794</v>
      </c>
      <c r="AT1088" s="20" t="e">
        <f t="shared" si="454"/>
        <v>#N/A</v>
      </c>
    </row>
    <row r="1089" spans="1:80" ht="61.5" x14ac:dyDescent="0.85">
      <c r="A1089" s="20">
        <v>1</v>
      </c>
      <c r="B1089" s="66">
        <f>SUBTOTAL(103,$A$929:A1089)</f>
        <v>144</v>
      </c>
      <c r="C1089" s="24" t="s">
        <v>250</v>
      </c>
      <c r="D1089" s="31">
        <f t="shared" ref="D1089" si="484">E1089+F1089+G1089+H1089+I1089+J1089+L1089+N1089+P1089+R1089+T1089+U1089+V1089+W1089+X1089+Y1089+Z1089+AA1089+AB1089+AC1089+AD1089+AE1089</f>
        <v>1739107.3499999999</v>
      </c>
      <c r="E1089" s="31">
        <v>0</v>
      </c>
      <c r="F1089" s="31">
        <v>0</v>
      </c>
      <c r="G1089" s="31">
        <v>0</v>
      </c>
      <c r="H1089" s="31">
        <v>0</v>
      </c>
      <c r="I1089" s="31">
        <v>0</v>
      </c>
      <c r="J1089" s="31">
        <v>0</v>
      </c>
      <c r="K1089" s="33">
        <v>0</v>
      </c>
      <c r="L1089" s="31">
        <v>0</v>
      </c>
      <c r="M1089" s="31">
        <v>0</v>
      </c>
      <c r="N1089" s="31">
        <v>0</v>
      </c>
      <c r="O1089" s="31">
        <v>0</v>
      </c>
      <c r="P1089" s="31">
        <v>0</v>
      </c>
      <c r="Q1089" s="31">
        <v>568.70000000000005</v>
      </c>
      <c r="R1089" s="31">
        <v>1585327.44</v>
      </c>
      <c r="S1089" s="31">
        <v>0</v>
      </c>
      <c r="T1089" s="31">
        <v>0</v>
      </c>
      <c r="U1089" s="31">
        <v>0</v>
      </c>
      <c r="V1089" s="31">
        <v>0</v>
      </c>
      <c r="W1089" s="31">
        <v>0</v>
      </c>
      <c r="X1089" s="31">
        <v>0</v>
      </c>
      <c r="Y1089" s="31">
        <v>0</v>
      </c>
      <c r="Z1089" s="31">
        <v>0</v>
      </c>
      <c r="AA1089" s="31">
        <v>0</v>
      </c>
      <c r="AB1089" s="31">
        <v>0</v>
      </c>
      <c r="AC1089" s="31">
        <f t="shared" ref="AC1089" si="485">ROUND(R1089*1.5%,2)</f>
        <v>23779.91</v>
      </c>
      <c r="AD1089" s="31">
        <v>130000</v>
      </c>
      <c r="AE1089" s="31">
        <v>0</v>
      </c>
      <c r="AF1089" s="34">
        <v>2022</v>
      </c>
      <c r="AG1089" s="34">
        <v>2022</v>
      </c>
      <c r="AH1089" s="35">
        <v>2022</v>
      </c>
      <c r="AT1089" s="20" t="e">
        <f t="shared" ref="AT1089:AT1108" si="486">VLOOKUP(C1089,AW:AX,2,FALSE)</f>
        <v>#N/A</v>
      </c>
    </row>
    <row r="1090" spans="1:80" ht="61.5" x14ac:dyDescent="0.85">
      <c r="B1090" s="24" t="s">
        <v>929</v>
      </c>
      <c r="C1090" s="118"/>
      <c r="D1090" s="31">
        <f>D1091</f>
        <v>3373804.98</v>
      </c>
      <c r="E1090" s="31">
        <f t="shared" ref="E1090:AE1090" si="487">E1091</f>
        <v>0</v>
      </c>
      <c r="F1090" s="31">
        <f t="shared" si="487"/>
        <v>0</v>
      </c>
      <c r="G1090" s="31">
        <f t="shared" si="487"/>
        <v>0</v>
      </c>
      <c r="H1090" s="31">
        <f t="shared" si="487"/>
        <v>0</v>
      </c>
      <c r="I1090" s="31">
        <f t="shared" si="487"/>
        <v>0</v>
      </c>
      <c r="J1090" s="31">
        <f t="shared" si="487"/>
        <v>0</v>
      </c>
      <c r="K1090" s="33">
        <f t="shared" si="487"/>
        <v>0</v>
      </c>
      <c r="L1090" s="31">
        <f t="shared" si="487"/>
        <v>0</v>
      </c>
      <c r="M1090" s="31">
        <f t="shared" si="487"/>
        <v>646.1</v>
      </c>
      <c r="N1090" s="31">
        <f t="shared" si="487"/>
        <v>3176162.54</v>
      </c>
      <c r="O1090" s="31">
        <f t="shared" si="487"/>
        <v>0</v>
      </c>
      <c r="P1090" s="31">
        <f t="shared" si="487"/>
        <v>0</v>
      </c>
      <c r="Q1090" s="31">
        <f t="shared" si="487"/>
        <v>0</v>
      </c>
      <c r="R1090" s="31">
        <f t="shared" si="487"/>
        <v>0</v>
      </c>
      <c r="S1090" s="31">
        <f t="shared" si="487"/>
        <v>0</v>
      </c>
      <c r="T1090" s="31">
        <f t="shared" si="487"/>
        <v>0</v>
      </c>
      <c r="U1090" s="31">
        <f t="shared" si="487"/>
        <v>0</v>
      </c>
      <c r="V1090" s="31">
        <f t="shared" si="487"/>
        <v>0</v>
      </c>
      <c r="W1090" s="31">
        <f t="shared" si="487"/>
        <v>0</v>
      </c>
      <c r="X1090" s="31">
        <f t="shared" si="487"/>
        <v>0</v>
      </c>
      <c r="Y1090" s="31">
        <f t="shared" si="487"/>
        <v>0</v>
      </c>
      <c r="Z1090" s="31">
        <f t="shared" si="487"/>
        <v>0</v>
      </c>
      <c r="AA1090" s="31">
        <f t="shared" si="487"/>
        <v>0</v>
      </c>
      <c r="AB1090" s="31">
        <f t="shared" si="487"/>
        <v>0</v>
      </c>
      <c r="AC1090" s="31">
        <f t="shared" si="487"/>
        <v>47642.44</v>
      </c>
      <c r="AD1090" s="31">
        <f t="shared" si="487"/>
        <v>150000</v>
      </c>
      <c r="AE1090" s="31">
        <f t="shared" si="487"/>
        <v>0</v>
      </c>
      <c r="AF1090" s="72" t="s">
        <v>794</v>
      </c>
      <c r="AG1090" s="72" t="s">
        <v>794</v>
      </c>
      <c r="AH1090" s="91" t="s">
        <v>794</v>
      </c>
      <c r="AT1090" s="20" t="e">
        <f t="shared" si="486"/>
        <v>#N/A</v>
      </c>
    </row>
    <row r="1091" spans="1:80" ht="61.5" x14ac:dyDescent="0.85">
      <c r="A1091" s="20">
        <v>1</v>
      </c>
      <c r="B1091" s="66">
        <f>SUBTOTAL(103,$A$929:A1091)</f>
        <v>145</v>
      </c>
      <c r="C1091" s="25" t="s">
        <v>4</v>
      </c>
      <c r="D1091" s="31">
        <f t="shared" ref="D1091" si="488">E1091+F1091+G1091+H1091+I1091+J1091+L1091+N1091+P1091+R1091+T1091+U1091+V1091+W1091+X1091+Y1091+Z1091+AA1091+AB1091+AC1091+AD1091+AE1091</f>
        <v>3373804.98</v>
      </c>
      <c r="E1091" s="31">
        <v>0</v>
      </c>
      <c r="F1091" s="31">
        <v>0</v>
      </c>
      <c r="G1091" s="31">
        <v>0</v>
      </c>
      <c r="H1091" s="31">
        <v>0</v>
      </c>
      <c r="I1091" s="31">
        <v>0</v>
      </c>
      <c r="J1091" s="31">
        <v>0</v>
      </c>
      <c r="K1091" s="33">
        <v>0</v>
      </c>
      <c r="L1091" s="31">
        <v>0</v>
      </c>
      <c r="M1091" s="31">
        <v>646.1</v>
      </c>
      <c r="N1091" s="31">
        <v>3176162.54</v>
      </c>
      <c r="O1091" s="31">
        <v>0</v>
      </c>
      <c r="P1091" s="31">
        <v>0</v>
      </c>
      <c r="Q1091" s="31">
        <v>0</v>
      </c>
      <c r="R1091" s="31">
        <v>0</v>
      </c>
      <c r="S1091" s="31">
        <v>0</v>
      </c>
      <c r="T1091" s="31">
        <v>0</v>
      </c>
      <c r="U1091" s="31">
        <v>0</v>
      </c>
      <c r="V1091" s="31">
        <v>0</v>
      </c>
      <c r="W1091" s="31">
        <v>0</v>
      </c>
      <c r="X1091" s="31">
        <v>0</v>
      </c>
      <c r="Y1091" s="31">
        <v>0</v>
      </c>
      <c r="Z1091" s="31">
        <v>0</v>
      </c>
      <c r="AA1091" s="31">
        <v>0</v>
      </c>
      <c r="AB1091" s="31">
        <v>0</v>
      </c>
      <c r="AC1091" s="31">
        <f>ROUND(N1091*1.5%,2)</f>
        <v>47642.44</v>
      </c>
      <c r="AD1091" s="31">
        <v>150000</v>
      </c>
      <c r="AE1091" s="31">
        <v>0</v>
      </c>
      <c r="AF1091" s="34">
        <v>2022</v>
      </c>
      <c r="AG1091" s="34">
        <v>2022</v>
      </c>
      <c r="AH1091" s="35">
        <v>2022</v>
      </c>
      <c r="AT1091" s="20" t="e">
        <f t="shared" si="486"/>
        <v>#N/A</v>
      </c>
    </row>
    <row r="1092" spans="1:80" ht="61.5" x14ac:dyDescent="0.85">
      <c r="B1092" s="24" t="s">
        <v>930</v>
      </c>
      <c r="C1092" s="25"/>
      <c r="D1092" s="31">
        <f>D1093</f>
        <v>3916350</v>
      </c>
      <c r="E1092" s="31">
        <f t="shared" ref="E1092:AE1092" si="489">E1093</f>
        <v>0</v>
      </c>
      <c r="F1092" s="31">
        <f t="shared" si="489"/>
        <v>0</v>
      </c>
      <c r="G1092" s="31">
        <f t="shared" si="489"/>
        <v>0</v>
      </c>
      <c r="H1092" s="31">
        <f t="shared" si="489"/>
        <v>0</v>
      </c>
      <c r="I1092" s="31">
        <f t="shared" si="489"/>
        <v>0</v>
      </c>
      <c r="J1092" s="31">
        <f t="shared" si="489"/>
        <v>0</v>
      </c>
      <c r="K1092" s="33">
        <f t="shared" si="489"/>
        <v>0</v>
      </c>
      <c r="L1092" s="31">
        <f t="shared" si="489"/>
        <v>0</v>
      </c>
      <c r="M1092" s="31">
        <f t="shared" si="489"/>
        <v>750</v>
      </c>
      <c r="N1092" s="31">
        <f t="shared" si="489"/>
        <v>3710689.66</v>
      </c>
      <c r="O1092" s="31">
        <f t="shared" si="489"/>
        <v>0</v>
      </c>
      <c r="P1092" s="31">
        <f t="shared" si="489"/>
        <v>0</v>
      </c>
      <c r="Q1092" s="31">
        <f t="shared" si="489"/>
        <v>0</v>
      </c>
      <c r="R1092" s="31">
        <f t="shared" si="489"/>
        <v>0</v>
      </c>
      <c r="S1092" s="31">
        <f t="shared" si="489"/>
        <v>0</v>
      </c>
      <c r="T1092" s="31">
        <f t="shared" si="489"/>
        <v>0</v>
      </c>
      <c r="U1092" s="31">
        <f t="shared" si="489"/>
        <v>0</v>
      </c>
      <c r="V1092" s="31">
        <f t="shared" si="489"/>
        <v>0</v>
      </c>
      <c r="W1092" s="31">
        <f t="shared" si="489"/>
        <v>0</v>
      </c>
      <c r="X1092" s="31">
        <f t="shared" si="489"/>
        <v>0</v>
      </c>
      <c r="Y1092" s="31">
        <f t="shared" si="489"/>
        <v>0</v>
      </c>
      <c r="Z1092" s="31">
        <f t="shared" si="489"/>
        <v>0</v>
      </c>
      <c r="AA1092" s="31">
        <f t="shared" si="489"/>
        <v>0</v>
      </c>
      <c r="AB1092" s="31">
        <f t="shared" si="489"/>
        <v>0</v>
      </c>
      <c r="AC1092" s="31">
        <f t="shared" si="489"/>
        <v>55660.34</v>
      </c>
      <c r="AD1092" s="31">
        <f t="shared" si="489"/>
        <v>150000</v>
      </c>
      <c r="AE1092" s="31">
        <f t="shared" si="489"/>
        <v>0</v>
      </c>
      <c r="AF1092" s="72" t="s">
        <v>794</v>
      </c>
      <c r="AG1092" s="72" t="s">
        <v>794</v>
      </c>
      <c r="AH1092" s="91" t="s">
        <v>794</v>
      </c>
      <c r="AT1092" s="20" t="e">
        <f t="shared" si="486"/>
        <v>#N/A</v>
      </c>
    </row>
    <row r="1093" spans="1:80" ht="61.5" x14ac:dyDescent="0.85">
      <c r="A1093" s="20">
        <v>1</v>
      </c>
      <c r="B1093" s="66">
        <f>SUBTOTAL(103,$A$929:A1093)</f>
        <v>146</v>
      </c>
      <c r="C1093" s="25" t="s">
        <v>3</v>
      </c>
      <c r="D1093" s="31">
        <f t="shared" ref="D1093" si="490">E1093+F1093+G1093+H1093+I1093+J1093+L1093+N1093+P1093+R1093+T1093+U1093+V1093+W1093+X1093+Y1093+Z1093+AA1093+AB1093+AC1093+AD1093+AE1093</f>
        <v>3916350</v>
      </c>
      <c r="E1093" s="31">
        <v>0</v>
      </c>
      <c r="F1093" s="31">
        <v>0</v>
      </c>
      <c r="G1093" s="31">
        <v>0</v>
      </c>
      <c r="H1093" s="31">
        <v>0</v>
      </c>
      <c r="I1093" s="31">
        <v>0</v>
      </c>
      <c r="J1093" s="31">
        <v>0</v>
      </c>
      <c r="K1093" s="33">
        <v>0</v>
      </c>
      <c r="L1093" s="31">
        <v>0</v>
      </c>
      <c r="M1093" s="31">
        <v>750</v>
      </c>
      <c r="N1093" s="31">
        <v>3710689.66</v>
      </c>
      <c r="O1093" s="31">
        <v>0</v>
      </c>
      <c r="P1093" s="31">
        <v>0</v>
      </c>
      <c r="Q1093" s="31">
        <v>0</v>
      </c>
      <c r="R1093" s="31">
        <v>0</v>
      </c>
      <c r="S1093" s="31">
        <v>0</v>
      </c>
      <c r="T1093" s="31">
        <v>0</v>
      </c>
      <c r="U1093" s="31">
        <v>0</v>
      </c>
      <c r="V1093" s="31">
        <v>0</v>
      </c>
      <c r="W1093" s="31">
        <v>0</v>
      </c>
      <c r="X1093" s="31">
        <v>0</v>
      </c>
      <c r="Y1093" s="31">
        <v>0</v>
      </c>
      <c r="Z1093" s="31">
        <v>0</v>
      </c>
      <c r="AA1093" s="31">
        <v>0</v>
      </c>
      <c r="AB1093" s="31">
        <v>0</v>
      </c>
      <c r="AC1093" s="31">
        <f>ROUND(N1093*1.5%,2)</f>
        <v>55660.34</v>
      </c>
      <c r="AD1093" s="31">
        <v>150000</v>
      </c>
      <c r="AE1093" s="31">
        <v>0</v>
      </c>
      <c r="AF1093" s="34">
        <v>2022</v>
      </c>
      <c r="AG1093" s="34">
        <v>2022</v>
      </c>
      <c r="AH1093" s="35">
        <v>2022</v>
      </c>
      <c r="AT1093" s="20" t="e">
        <f t="shared" si="486"/>
        <v>#N/A</v>
      </c>
    </row>
    <row r="1094" spans="1:80" ht="61.5" x14ac:dyDescent="0.85">
      <c r="B1094" s="24" t="s">
        <v>871</v>
      </c>
      <c r="C1094" s="117"/>
      <c r="D1094" s="31">
        <f>D1095+D1096</f>
        <v>3516578.96</v>
      </c>
      <c r="E1094" s="31">
        <f t="shared" ref="E1094:AE1094" si="491">E1095+E1096</f>
        <v>0</v>
      </c>
      <c r="F1094" s="31">
        <f t="shared" si="491"/>
        <v>0</v>
      </c>
      <c r="G1094" s="31">
        <f t="shared" si="491"/>
        <v>0</v>
      </c>
      <c r="H1094" s="31">
        <f t="shared" si="491"/>
        <v>0</v>
      </c>
      <c r="I1094" s="31">
        <f t="shared" si="491"/>
        <v>0</v>
      </c>
      <c r="J1094" s="31">
        <f t="shared" si="491"/>
        <v>0</v>
      </c>
      <c r="K1094" s="33">
        <f t="shared" si="491"/>
        <v>0</v>
      </c>
      <c r="L1094" s="31">
        <f t="shared" si="491"/>
        <v>0</v>
      </c>
      <c r="M1094" s="31">
        <f t="shared" si="491"/>
        <v>856</v>
      </c>
      <c r="N1094" s="31">
        <f t="shared" si="491"/>
        <v>3228156.6100000003</v>
      </c>
      <c r="O1094" s="31">
        <f t="shared" si="491"/>
        <v>0</v>
      </c>
      <c r="P1094" s="31">
        <f t="shared" si="491"/>
        <v>0</v>
      </c>
      <c r="Q1094" s="31">
        <f t="shared" si="491"/>
        <v>0</v>
      </c>
      <c r="R1094" s="31">
        <f t="shared" si="491"/>
        <v>0</v>
      </c>
      <c r="S1094" s="31">
        <f t="shared" si="491"/>
        <v>0</v>
      </c>
      <c r="T1094" s="31">
        <f t="shared" si="491"/>
        <v>0</v>
      </c>
      <c r="U1094" s="31">
        <f t="shared" si="491"/>
        <v>0</v>
      </c>
      <c r="V1094" s="31">
        <f t="shared" si="491"/>
        <v>0</v>
      </c>
      <c r="W1094" s="31">
        <f t="shared" si="491"/>
        <v>0</v>
      </c>
      <c r="X1094" s="31">
        <f t="shared" si="491"/>
        <v>0</v>
      </c>
      <c r="Y1094" s="31">
        <f t="shared" si="491"/>
        <v>0</v>
      </c>
      <c r="Z1094" s="31">
        <f t="shared" si="491"/>
        <v>0</v>
      </c>
      <c r="AA1094" s="31">
        <f t="shared" si="491"/>
        <v>0</v>
      </c>
      <c r="AB1094" s="31">
        <f t="shared" si="491"/>
        <v>0</v>
      </c>
      <c r="AC1094" s="31">
        <f t="shared" si="491"/>
        <v>48422.350000000006</v>
      </c>
      <c r="AD1094" s="31">
        <f t="shared" si="491"/>
        <v>240000</v>
      </c>
      <c r="AE1094" s="31">
        <f t="shared" si="491"/>
        <v>0</v>
      </c>
      <c r="AF1094" s="72" t="s">
        <v>794</v>
      </c>
      <c r="AG1094" s="72" t="s">
        <v>794</v>
      </c>
      <c r="AH1094" s="91" t="s">
        <v>794</v>
      </c>
      <c r="AT1094" s="20" t="e">
        <f t="shared" si="486"/>
        <v>#N/A</v>
      </c>
    </row>
    <row r="1095" spans="1:80" ht="61.5" x14ac:dyDescent="0.85">
      <c r="A1095" s="20">
        <v>1</v>
      </c>
      <c r="B1095" s="66">
        <f>SUBTOTAL(103,$A$929:A1095)</f>
        <v>147</v>
      </c>
      <c r="C1095" s="24" t="s">
        <v>737</v>
      </c>
      <c r="D1095" s="31">
        <f t="shared" ref="D1095:D1096" si="492">E1095+F1095+G1095+H1095+I1095+J1095+L1095+N1095+P1095+R1095+T1095+U1095+V1095+W1095+X1095+Y1095+Z1095+AA1095+AB1095+AC1095+AD1095+AE1095</f>
        <v>1913529.37</v>
      </c>
      <c r="E1095" s="31">
        <v>0</v>
      </c>
      <c r="F1095" s="31">
        <v>0</v>
      </c>
      <c r="G1095" s="31">
        <v>0</v>
      </c>
      <c r="H1095" s="31">
        <v>0</v>
      </c>
      <c r="I1095" s="31">
        <v>0</v>
      </c>
      <c r="J1095" s="31">
        <v>0</v>
      </c>
      <c r="K1095" s="33">
        <v>0</v>
      </c>
      <c r="L1095" s="31">
        <v>0</v>
      </c>
      <c r="M1095" s="31">
        <v>440</v>
      </c>
      <c r="N1095" s="31">
        <v>1767024.01</v>
      </c>
      <c r="O1095" s="31">
        <v>0</v>
      </c>
      <c r="P1095" s="31">
        <v>0</v>
      </c>
      <c r="Q1095" s="31">
        <v>0</v>
      </c>
      <c r="R1095" s="31">
        <v>0</v>
      </c>
      <c r="S1095" s="31">
        <v>0</v>
      </c>
      <c r="T1095" s="31">
        <v>0</v>
      </c>
      <c r="U1095" s="31">
        <v>0</v>
      </c>
      <c r="V1095" s="31">
        <v>0</v>
      </c>
      <c r="W1095" s="31">
        <v>0</v>
      </c>
      <c r="X1095" s="31">
        <v>0</v>
      </c>
      <c r="Y1095" s="31">
        <v>0</v>
      </c>
      <c r="Z1095" s="31">
        <v>0</v>
      </c>
      <c r="AA1095" s="31">
        <v>0</v>
      </c>
      <c r="AB1095" s="31">
        <v>0</v>
      </c>
      <c r="AC1095" s="31">
        <f t="shared" ref="AC1095:AC1096" si="493">ROUND(N1095*1.5%,2)</f>
        <v>26505.360000000001</v>
      </c>
      <c r="AD1095" s="31">
        <v>120000</v>
      </c>
      <c r="AE1095" s="31">
        <v>0</v>
      </c>
      <c r="AF1095" s="34">
        <v>2022</v>
      </c>
      <c r="AG1095" s="34">
        <v>2022</v>
      </c>
      <c r="AH1095" s="35">
        <v>2022</v>
      </c>
      <c r="AT1095" s="20" t="e">
        <f t="shared" si="486"/>
        <v>#N/A</v>
      </c>
    </row>
    <row r="1096" spans="1:80" ht="61.5" x14ac:dyDescent="0.85">
      <c r="A1096" s="20">
        <v>1</v>
      </c>
      <c r="B1096" s="66">
        <f>SUBTOTAL(103,$A$929:A1096)</f>
        <v>148</v>
      </c>
      <c r="C1096" s="24" t="s">
        <v>735</v>
      </c>
      <c r="D1096" s="31">
        <f t="shared" si="492"/>
        <v>1603049.59</v>
      </c>
      <c r="E1096" s="31">
        <v>0</v>
      </c>
      <c r="F1096" s="31">
        <v>0</v>
      </c>
      <c r="G1096" s="31">
        <v>0</v>
      </c>
      <c r="H1096" s="31">
        <v>0</v>
      </c>
      <c r="I1096" s="31">
        <v>0</v>
      </c>
      <c r="J1096" s="31">
        <v>0</v>
      </c>
      <c r="K1096" s="33">
        <v>0</v>
      </c>
      <c r="L1096" s="31">
        <v>0</v>
      </c>
      <c r="M1096" s="31">
        <v>416</v>
      </c>
      <c r="N1096" s="31">
        <v>1461132.6</v>
      </c>
      <c r="O1096" s="31">
        <v>0</v>
      </c>
      <c r="P1096" s="31">
        <v>0</v>
      </c>
      <c r="Q1096" s="31">
        <v>0</v>
      </c>
      <c r="R1096" s="31">
        <v>0</v>
      </c>
      <c r="S1096" s="31">
        <v>0</v>
      </c>
      <c r="T1096" s="31">
        <v>0</v>
      </c>
      <c r="U1096" s="31">
        <v>0</v>
      </c>
      <c r="V1096" s="31">
        <v>0</v>
      </c>
      <c r="W1096" s="31">
        <v>0</v>
      </c>
      <c r="X1096" s="31">
        <v>0</v>
      </c>
      <c r="Y1096" s="31">
        <v>0</v>
      </c>
      <c r="Z1096" s="31">
        <v>0</v>
      </c>
      <c r="AA1096" s="31">
        <v>0</v>
      </c>
      <c r="AB1096" s="31">
        <v>0</v>
      </c>
      <c r="AC1096" s="31">
        <f t="shared" si="493"/>
        <v>21916.99</v>
      </c>
      <c r="AD1096" s="31">
        <v>120000</v>
      </c>
      <c r="AE1096" s="31">
        <v>0</v>
      </c>
      <c r="AF1096" s="34">
        <v>2022</v>
      </c>
      <c r="AG1096" s="34">
        <v>2022</v>
      </c>
      <c r="AH1096" s="35">
        <v>2022</v>
      </c>
      <c r="AT1096" s="20" t="e">
        <f t="shared" si="486"/>
        <v>#N/A</v>
      </c>
    </row>
    <row r="1097" spans="1:80" ht="61.5" x14ac:dyDescent="0.85">
      <c r="B1097" s="24" t="s">
        <v>913</v>
      </c>
      <c r="C1097" s="24"/>
      <c r="D1097" s="31">
        <f>D1098</f>
        <v>3598749.4899999998</v>
      </c>
      <c r="E1097" s="31">
        <f t="shared" ref="E1097:AE1097" si="494">E1098</f>
        <v>0</v>
      </c>
      <c r="F1097" s="31">
        <f t="shared" si="494"/>
        <v>0</v>
      </c>
      <c r="G1097" s="31">
        <f t="shared" si="494"/>
        <v>0</v>
      </c>
      <c r="H1097" s="31">
        <f t="shared" si="494"/>
        <v>0</v>
      </c>
      <c r="I1097" s="31">
        <f t="shared" si="494"/>
        <v>0</v>
      </c>
      <c r="J1097" s="31">
        <f t="shared" si="494"/>
        <v>0</v>
      </c>
      <c r="K1097" s="33">
        <f t="shared" si="494"/>
        <v>0</v>
      </c>
      <c r="L1097" s="31">
        <f t="shared" si="494"/>
        <v>0</v>
      </c>
      <c r="M1097" s="31">
        <f t="shared" si="494"/>
        <v>975.8</v>
      </c>
      <c r="N1097" s="31">
        <f t="shared" si="494"/>
        <v>3427339.4</v>
      </c>
      <c r="O1097" s="31">
        <f t="shared" si="494"/>
        <v>0</v>
      </c>
      <c r="P1097" s="31">
        <f t="shared" si="494"/>
        <v>0</v>
      </c>
      <c r="Q1097" s="31">
        <f t="shared" si="494"/>
        <v>0</v>
      </c>
      <c r="R1097" s="31">
        <f t="shared" si="494"/>
        <v>0</v>
      </c>
      <c r="S1097" s="31">
        <f t="shared" si="494"/>
        <v>0</v>
      </c>
      <c r="T1097" s="31">
        <f t="shared" si="494"/>
        <v>0</v>
      </c>
      <c r="U1097" s="31">
        <f t="shared" si="494"/>
        <v>0</v>
      </c>
      <c r="V1097" s="31">
        <f t="shared" si="494"/>
        <v>0</v>
      </c>
      <c r="W1097" s="31">
        <f t="shared" si="494"/>
        <v>0</v>
      </c>
      <c r="X1097" s="31">
        <f t="shared" si="494"/>
        <v>0</v>
      </c>
      <c r="Y1097" s="31">
        <f t="shared" si="494"/>
        <v>0</v>
      </c>
      <c r="Z1097" s="31">
        <f t="shared" si="494"/>
        <v>0</v>
      </c>
      <c r="AA1097" s="31">
        <f t="shared" si="494"/>
        <v>0</v>
      </c>
      <c r="AB1097" s="31">
        <f t="shared" si="494"/>
        <v>0</v>
      </c>
      <c r="AC1097" s="31">
        <f t="shared" si="494"/>
        <v>51410.09</v>
      </c>
      <c r="AD1097" s="31">
        <f t="shared" si="494"/>
        <v>120000</v>
      </c>
      <c r="AE1097" s="31">
        <f t="shared" si="494"/>
        <v>0</v>
      </c>
      <c r="AF1097" s="72" t="s">
        <v>794</v>
      </c>
      <c r="AG1097" s="72" t="s">
        <v>794</v>
      </c>
      <c r="AH1097" s="91" t="s">
        <v>794</v>
      </c>
      <c r="AT1097" s="20" t="e">
        <f t="shared" si="486"/>
        <v>#N/A</v>
      </c>
    </row>
    <row r="1098" spans="1:80" ht="61.5" x14ac:dyDescent="0.85">
      <c r="A1098" s="20">
        <v>1</v>
      </c>
      <c r="B1098" s="66">
        <f>SUBTOTAL(103,$A$929:A1098)</f>
        <v>149</v>
      </c>
      <c r="C1098" s="24" t="s">
        <v>743</v>
      </c>
      <c r="D1098" s="31">
        <f t="shared" ref="D1098" si="495">E1098+F1098+G1098+H1098+I1098+J1098+L1098+N1098+P1098+R1098+T1098+U1098+V1098+W1098+X1098+Y1098+Z1098+AA1098+AB1098+AC1098+AD1098+AE1098</f>
        <v>3598749.4899999998</v>
      </c>
      <c r="E1098" s="31">
        <v>0</v>
      </c>
      <c r="F1098" s="31">
        <v>0</v>
      </c>
      <c r="G1098" s="31">
        <v>0</v>
      </c>
      <c r="H1098" s="31">
        <v>0</v>
      </c>
      <c r="I1098" s="31">
        <v>0</v>
      </c>
      <c r="J1098" s="31">
        <v>0</v>
      </c>
      <c r="K1098" s="33">
        <v>0</v>
      </c>
      <c r="L1098" s="31">
        <v>0</v>
      </c>
      <c r="M1098" s="31">
        <v>975.8</v>
      </c>
      <c r="N1098" s="31">
        <v>3427339.4</v>
      </c>
      <c r="O1098" s="31">
        <v>0</v>
      </c>
      <c r="P1098" s="31">
        <v>0</v>
      </c>
      <c r="Q1098" s="31">
        <v>0</v>
      </c>
      <c r="R1098" s="31">
        <v>0</v>
      </c>
      <c r="S1098" s="31">
        <v>0</v>
      </c>
      <c r="T1098" s="31">
        <v>0</v>
      </c>
      <c r="U1098" s="31">
        <v>0</v>
      </c>
      <c r="V1098" s="31">
        <v>0</v>
      </c>
      <c r="W1098" s="31">
        <v>0</v>
      </c>
      <c r="X1098" s="31">
        <v>0</v>
      </c>
      <c r="Y1098" s="31">
        <v>0</v>
      </c>
      <c r="Z1098" s="31">
        <v>0</v>
      </c>
      <c r="AA1098" s="31">
        <v>0</v>
      </c>
      <c r="AB1098" s="31">
        <v>0</v>
      </c>
      <c r="AC1098" s="31">
        <f>ROUND(N1098*1.5%,2)</f>
        <v>51410.09</v>
      </c>
      <c r="AD1098" s="31">
        <v>120000</v>
      </c>
      <c r="AE1098" s="31">
        <v>0</v>
      </c>
      <c r="AF1098" s="34">
        <v>2022</v>
      </c>
      <c r="AG1098" s="34">
        <v>2022</v>
      </c>
      <c r="AH1098" s="35">
        <v>2022</v>
      </c>
      <c r="AT1098" s="20" t="e">
        <f t="shared" si="486"/>
        <v>#N/A</v>
      </c>
    </row>
    <row r="1099" spans="1:80" ht="61.5" x14ac:dyDescent="0.85">
      <c r="B1099" s="24" t="s">
        <v>873</v>
      </c>
      <c r="C1099" s="24"/>
      <c r="D1099" s="31">
        <f>D1100</f>
        <v>3488946.79</v>
      </c>
      <c r="E1099" s="31">
        <f t="shared" ref="E1099:AE1099" si="496">E1100</f>
        <v>0</v>
      </c>
      <c r="F1099" s="31">
        <f t="shared" si="496"/>
        <v>0</v>
      </c>
      <c r="G1099" s="31">
        <f t="shared" si="496"/>
        <v>0</v>
      </c>
      <c r="H1099" s="31">
        <f t="shared" si="496"/>
        <v>0</v>
      </c>
      <c r="I1099" s="31">
        <f t="shared" si="496"/>
        <v>0</v>
      </c>
      <c r="J1099" s="31">
        <f t="shared" si="496"/>
        <v>0</v>
      </c>
      <c r="K1099" s="33">
        <f t="shared" si="496"/>
        <v>0</v>
      </c>
      <c r="L1099" s="31">
        <f t="shared" si="496"/>
        <v>0</v>
      </c>
      <c r="M1099" s="31">
        <f t="shared" si="496"/>
        <v>945</v>
      </c>
      <c r="N1099" s="31">
        <f t="shared" si="496"/>
        <v>3319159.4</v>
      </c>
      <c r="O1099" s="31">
        <f t="shared" si="496"/>
        <v>0</v>
      </c>
      <c r="P1099" s="31">
        <f t="shared" si="496"/>
        <v>0</v>
      </c>
      <c r="Q1099" s="31">
        <f t="shared" si="496"/>
        <v>0</v>
      </c>
      <c r="R1099" s="31">
        <f t="shared" si="496"/>
        <v>0</v>
      </c>
      <c r="S1099" s="31">
        <f t="shared" si="496"/>
        <v>0</v>
      </c>
      <c r="T1099" s="31">
        <f t="shared" si="496"/>
        <v>0</v>
      </c>
      <c r="U1099" s="31">
        <f t="shared" si="496"/>
        <v>0</v>
      </c>
      <c r="V1099" s="31">
        <f t="shared" si="496"/>
        <v>0</v>
      </c>
      <c r="W1099" s="31">
        <f t="shared" si="496"/>
        <v>0</v>
      </c>
      <c r="X1099" s="31">
        <f t="shared" si="496"/>
        <v>0</v>
      </c>
      <c r="Y1099" s="31">
        <f t="shared" si="496"/>
        <v>0</v>
      </c>
      <c r="Z1099" s="31">
        <f t="shared" si="496"/>
        <v>0</v>
      </c>
      <c r="AA1099" s="31">
        <f t="shared" si="496"/>
        <v>0</v>
      </c>
      <c r="AB1099" s="31">
        <f t="shared" si="496"/>
        <v>0</v>
      </c>
      <c r="AC1099" s="31">
        <f t="shared" si="496"/>
        <v>49787.39</v>
      </c>
      <c r="AD1099" s="31">
        <f t="shared" si="496"/>
        <v>120000</v>
      </c>
      <c r="AE1099" s="31">
        <f t="shared" si="496"/>
        <v>0</v>
      </c>
      <c r="AF1099" s="72" t="s">
        <v>794</v>
      </c>
      <c r="AG1099" s="72" t="s">
        <v>794</v>
      </c>
      <c r="AH1099" s="91" t="s">
        <v>794</v>
      </c>
      <c r="AT1099" s="20" t="e">
        <f t="shared" si="486"/>
        <v>#N/A</v>
      </c>
    </row>
    <row r="1100" spans="1:80" ht="61.5" x14ac:dyDescent="0.85">
      <c r="A1100" s="20">
        <v>1</v>
      </c>
      <c r="B1100" s="66">
        <f>SUBTOTAL(103,$A$929:A1100)</f>
        <v>150</v>
      </c>
      <c r="C1100" s="24" t="s">
        <v>741</v>
      </c>
      <c r="D1100" s="31">
        <f t="shared" ref="D1100" si="497">E1100+F1100+G1100+H1100+I1100+J1100+L1100+N1100+P1100+R1100+T1100+U1100+V1100+W1100+X1100+Y1100+Z1100+AA1100+AB1100+AC1100+AD1100+AE1100</f>
        <v>3488946.79</v>
      </c>
      <c r="E1100" s="31">
        <v>0</v>
      </c>
      <c r="F1100" s="31">
        <v>0</v>
      </c>
      <c r="G1100" s="31">
        <v>0</v>
      </c>
      <c r="H1100" s="31">
        <v>0</v>
      </c>
      <c r="I1100" s="31">
        <v>0</v>
      </c>
      <c r="J1100" s="31">
        <v>0</v>
      </c>
      <c r="K1100" s="33">
        <v>0</v>
      </c>
      <c r="L1100" s="31">
        <v>0</v>
      </c>
      <c r="M1100" s="31">
        <v>945</v>
      </c>
      <c r="N1100" s="31">
        <v>3319159.4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1">
        <v>0</v>
      </c>
      <c r="Y1100" s="31">
        <v>0</v>
      </c>
      <c r="Z1100" s="31">
        <v>0</v>
      </c>
      <c r="AA1100" s="31">
        <v>0</v>
      </c>
      <c r="AB1100" s="31">
        <v>0</v>
      </c>
      <c r="AC1100" s="31">
        <f>ROUND(N1100*1.5%,2)</f>
        <v>49787.39</v>
      </c>
      <c r="AD1100" s="31">
        <v>120000</v>
      </c>
      <c r="AE1100" s="31">
        <v>0</v>
      </c>
      <c r="AF1100" s="34">
        <v>2022</v>
      </c>
      <c r="AG1100" s="34">
        <v>2022</v>
      </c>
      <c r="AH1100" s="35">
        <v>2022</v>
      </c>
      <c r="AT1100" s="20" t="e">
        <f t="shared" si="486"/>
        <v>#N/A</v>
      </c>
    </row>
    <row r="1101" spans="1:80" ht="61.5" x14ac:dyDescent="0.85">
      <c r="B1101" s="24" t="s">
        <v>931</v>
      </c>
      <c r="C1101" s="24"/>
      <c r="D1101" s="31">
        <f>D1102</f>
        <v>1538879.17</v>
      </c>
      <c r="E1101" s="31">
        <f t="shared" ref="E1101:AE1101" si="498">E1102</f>
        <v>0</v>
      </c>
      <c r="F1101" s="31">
        <f t="shared" si="498"/>
        <v>0</v>
      </c>
      <c r="G1101" s="31">
        <f t="shared" si="498"/>
        <v>0</v>
      </c>
      <c r="H1101" s="31">
        <f t="shared" si="498"/>
        <v>0</v>
      </c>
      <c r="I1101" s="31">
        <f t="shared" si="498"/>
        <v>0</v>
      </c>
      <c r="J1101" s="31">
        <f t="shared" si="498"/>
        <v>0</v>
      </c>
      <c r="K1101" s="33">
        <f t="shared" si="498"/>
        <v>0</v>
      </c>
      <c r="L1101" s="31">
        <f t="shared" si="498"/>
        <v>0</v>
      </c>
      <c r="M1101" s="31">
        <f t="shared" si="498"/>
        <v>398</v>
      </c>
      <c r="N1101" s="31">
        <f t="shared" si="498"/>
        <v>1397910.51</v>
      </c>
      <c r="O1101" s="31">
        <f t="shared" si="498"/>
        <v>0</v>
      </c>
      <c r="P1101" s="31">
        <f t="shared" si="498"/>
        <v>0</v>
      </c>
      <c r="Q1101" s="31">
        <f t="shared" si="498"/>
        <v>0</v>
      </c>
      <c r="R1101" s="31">
        <f t="shared" si="498"/>
        <v>0</v>
      </c>
      <c r="S1101" s="31">
        <f t="shared" si="498"/>
        <v>0</v>
      </c>
      <c r="T1101" s="31">
        <f t="shared" si="498"/>
        <v>0</v>
      </c>
      <c r="U1101" s="31">
        <f t="shared" si="498"/>
        <v>0</v>
      </c>
      <c r="V1101" s="31">
        <f t="shared" si="498"/>
        <v>0</v>
      </c>
      <c r="W1101" s="31">
        <f t="shared" si="498"/>
        <v>0</v>
      </c>
      <c r="X1101" s="31">
        <f t="shared" si="498"/>
        <v>0</v>
      </c>
      <c r="Y1101" s="31">
        <f t="shared" si="498"/>
        <v>0</v>
      </c>
      <c r="Z1101" s="31">
        <f t="shared" si="498"/>
        <v>0</v>
      </c>
      <c r="AA1101" s="31">
        <f t="shared" si="498"/>
        <v>0</v>
      </c>
      <c r="AB1101" s="31">
        <f t="shared" si="498"/>
        <v>0</v>
      </c>
      <c r="AC1101" s="31">
        <f t="shared" si="498"/>
        <v>20968.66</v>
      </c>
      <c r="AD1101" s="31">
        <f t="shared" si="498"/>
        <v>120000</v>
      </c>
      <c r="AE1101" s="31">
        <f t="shared" si="498"/>
        <v>0</v>
      </c>
      <c r="AF1101" s="72" t="s">
        <v>794</v>
      </c>
      <c r="AG1101" s="72" t="s">
        <v>794</v>
      </c>
      <c r="AH1101" s="91" t="s">
        <v>794</v>
      </c>
      <c r="AT1101" s="20" t="e">
        <f t="shared" si="486"/>
        <v>#N/A</v>
      </c>
    </row>
    <row r="1102" spans="1:80" ht="61.5" x14ac:dyDescent="0.85">
      <c r="A1102" s="20">
        <v>1</v>
      </c>
      <c r="B1102" s="66">
        <f>SUBTOTAL(103,$A$929:A1102)</f>
        <v>151</v>
      </c>
      <c r="C1102" s="24" t="s">
        <v>738</v>
      </c>
      <c r="D1102" s="31">
        <f t="shared" ref="D1102" si="499">E1102+F1102+G1102+H1102+I1102+J1102+L1102+N1102+P1102+R1102+T1102+U1102+V1102+W1102+X1102+Y1102+Z1102+AA1102+AB1102+AC1102+AD1102+AE1102</f>
        <v>1538879.17</v>
      </c>
      <c r="E1102" s="31">
        <v>0</v>
      </c>
      <c r="F1102" s="31">
        <v>0</v>
      </c>
      <c r="G1102" s="31">
        <v>0</v>
      </c>
      <c r="H1102" s="31">
        <v>0</v>
      </c>
      <c r="I1102" s="31">
        <v>0</v>
      </c>
      <c r="J1102" s="31">
        <v>0</v>
      </c>
      <c r="K1102" s="33">
        <v>0</v>
      </c>
      <c r="L1102" s="31">
        <v>0</v>
      </c>
      <c r="M1102" s="31">
        <v>398</v>
      </c>
      <c r="N1102" s="31">
        <v>1397910.51</v>
      </c>
      <c r="O1102" s="31">
        <v>0</v>
      </c>
      <c r="P1102" s="31">
        <v>0</v>
      </c>
      <c r="Q1102" s="31">
        <v>0</v>
      </c>
      <c r="R1102" s="31">
        <v>0</v>
      </c>
      <c r="S1102" s="31">
        <v>0</v>
      </c>
      <c r="T1102" s="31">
        <v>0</v>
      </c>
      <c r="U1102" s="31">
        <v>0</v>
      </c>
      <c r="V1102" s="31">
        <v>0</v>
      </c>
      <c r="W1102" s="31">
        <v>0</v>
      </c>
      <c r="X1102" s="31">
        <v>0</v>
      </c>
      <c r="Y1102" s="31">
        <v>0</v>
      </c>
      <c r="Z1102" s="31">
        <v>0</v>
      </c>
      <c r="AA1102" s="31">
        <v>0</v>
      </c>
      <c r="AB1102" s="31">
        <v>0</v>
      </c>
      <c r="AC1102" s="31">
        <f>ROUND(N1102*1.5%,2)</f>
        <v>20968.66</v>
      </c>
      <c r="AD1102" s="31">
        <v>120000</v>
      </c>
      <c r="AE1102" s="31">
        <v>0</v>
      </c>
      <c r="AF1102" s="34">
        <v>2022</v>
      </c>
      <c r="AG1102" s="34">
        <v>2022</v>
      </c>
      <c r="AH1102" s="35">
        <v>2022</v>
      </c>
      <c r="AT1102" s="20" t="e">
        <f t="shared" si="486"/>
        <v>#N/A</v>
      </c>
    </row>
    <row r="1103" spans="1:80" ht="61.5" x14ac:dyDescent="0.85">
      <c r="B1103" s="24" t="s">
        <v>874</v>
      </c>
      <c r="C1103" s="117"/>
      <c r="D1103" s="31">
        <f>SUM(D1104:D1109)</f>
        <v>28415186.599999998</v>
      </c>
      <c r="E1103" s="31">
        <f t="shared" ref="E1103:AE1103" si="500">SUM(E1104:E1109)</f>
        <v>0</v>
      </c>
      <c r="F1103" s="31">
        <f t="shared" si="500"/>
        <v>0</v>
      </c>
      <c r="G1103" s="31">
        <f t="shared" si="500"/>
        <v>0</v>
      </c>
      <c r="H1103" s="31">
        <f t="shared" si="500"/>
        <v>0</v>
      </c>
      <c r="I1103" s="31">
        <f t="shared" si="500"/>
        <v>0</v>
      </c>
      <c r="J1103" s="31">
        <f t="shared" si="500"/>
        <v>0</v>
      </c>
      <c r="K1103" s="33">
        <f t="shared" si="500"/>
        <v>0</v>
      </c>
      <c r="L1103" s="31">
        <f t="shared" si="500"/>
        <v>0</v>
      </c>
      <c r="M1103" s="31">
        <f t="shared" si="500"/>
        <v>4527.6000000000004</v>
      </c>
      <c r="N1103" s="31">
        <f t="shared" si="500"/>
        <v>24236969.890000004</v>
      </c>
      <c r="O1103" s="31">
        <f t="shared" si="500"/>
        <v>0</v>
      </c>
      <c r="P1103" s="31">
        <f t="shared" si="500"/>
        <v>0</v>
      </c>
      <c r="Q1103" s="31">
        <f t="shared" si="500"/>
        <v>0</v>
      </c>
      <c r="R1103" s="31">
        <f t="shared" si="500"/>
        <v>0</v>
      </c>
      <c r="S1103" s="31">
        <f t="shared" si="500"/>
        <v>0</v>
      </c>
      <c r="T1103" s="31">
        <f t="shared" si="500"/>
        <v>0</v>
      </c>
      <c r="U1103" s="31">
        <f t="shared" si="500"/>
        <v>2812475.02</v>
      </c>
      <c r="V1103" s="31">
        <f t="shared" si="500"/>
        <v>0</v>
      </c>
      <c r="W1103" s="31">
        <f t="shared" si="500"/>
        <v>0</v>
      </c>
      <c r="X1103" s="31">
        <f t="shared" si="500"/>
        <v>0</v>
      </c>
      <c r="Y1103" s="31">
        <f t="shared" si="500"/>
        <v>0</v>
      </c>
      <c r="Z1103" s="31">
        <f t="shared" si="500"/>
        <v>0</v>
      </c>
      <c r="AA1103" s="31">
        <f t="shared" si="500"/>
        <v>0</v>
      </c>
      <c r="AB1103" s="31">
        <f t="shared" si="500"/>
        <v>0</v>
      </c>
      <c r="AC1103" s="31">
        <f t="shared" si="500"/>
        <v>405741.69</v>
      </c>
      <c r="AD1103" s="31">
        <f t="shared" si="500"/>
        <v>960000</v>
      </c>
      <c r="AE1103" s="31">
        <f t="shared" si="500"/>
        <v>0</v>
      </c>
      <c r="AF1103" s="72" t="s">
        <v>794</v>
      </c>
      <c r="AG1103" s="72" t="s">
        <v>794</v>
      </c>
      <c r="AH1103" s="91" t="s">
        <v>794</v>
      </c>
      <c r="AT1103" s="20" t="e">
        <f t="shared" si="486"/>
        <v>#N/A</v>
      </c>
      <c r="BZ1103" s="31">
        <v>28415186.600000001</v>
      </c>
      <c r="CA1103" s="31"/>
      <c r="CB1103" s="31">
        <f>BZ1103-D1103</f>
        <v>0</v>
      </c>
    </row>
    <row r="1104" spans="1:80" ht="61.5" x14ac:dyDescent="0.85">
      <c r="A1104" s="20">
        <v>1</v>
      </c>
      <c r="B1104" s="66">
        <f>SUBTOTAL(103,$A$929:A1104)</f>
        <v>152</v>
      </c>
      <c r="C1104" s="24" t="s">
        <v>135</v>
      </c>
      <c r="D1104" s="31">
        <f t="shared" ref="D1104:D1109" si="501">E1104+F1104+G1104+H1104+I1104+J1104+L1104+N1104+P1104+R1104+T1104+U1104+V1104+W1104+X1104+Y1104+Z1104+AA1104+AB1104+AC1104+AD1104+AE1104</f>
        <v>6533531.75</v>
      </c>
      <c r="E1104" s="31">
        <v>0</v>
      </c>
      <c r="F1104" s="31">
        <v>0</v>
      </c>
      <c r="G1104" s="31">
        <v>0</v>
      </c>
      <c r="H1104" s="31">
        <v>0</v>
      </c>
      <c r="I1104" s="31">
        <v>0</v>
      </c>
      <c r="J1104" s="31">
        <v>0</v>
      </c>
      <c r="K1104" s="33">
        <v>0</v>
      </c>
      <c r="L1104" s="31">
        <v>0</v>
      </c>
      <c r="M1104" s="31">
        <v>1175</v>
      </c>
      <c r="N1104" s="31">
        <f>5610837.44+648799.75</f>
        <v>6259637.1900000004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  <c r="V1104" s="31">
        <v>0</v>
      </c>
      <c r="W1104" s="31">
        <v>0</v>
      </c>
      <c r="X1104" s="31">
        <v>0</v>
      </c>
      <c r="Y1104" s="31">
        <v>0</v>
      </c>
      <c r="Z1104" s="31">
        <v>0</v>
      </c>
      <c r="AA1104" s="31">
        <v>0</v>
      </c>
      <c r="AB1104" s="31">
        <v>0</v>
      </c>
      <c r="AC1104" s="31">
        <f t="shared" ref="AC1104:AC1108" si="502">ROUND(N1104*1.5%,2)</f>
        <v>93894.56</v>
      </c>
      <c r="AD1104" s="31">
        <v>180000</v>
      </c>
      <c r="AE1104" s="31">
        <v>0</v>
      </c>
      <c r="AF1104" s="34">
        <v>2022</v>
      </c>
      <c r="AG1104" s="34">
        <v>2022</v>
      </c>
      <c r="AH1104" s="35">
        <v>2022</v>
      </c>
      <c r="AT1104" s="20" t="e">
        <f t="shared" si="486"/>
        <v>#N/A</v>
      </c>
    </row>
    <row r="1105" spans="1:46" ht="61.5" x14ac:dyDescent="0.85">
      <c r="A1105" s="20">
        <v>1</v>
      </c>
      <c r="B1105" s="66">
        <f>SUBTOTAL(103,$A$929:A1105)</f>
        <v>153</v>
      </c>
      <c r="C1105" s="24" t="s">
        <v>132</v>
      </c>
      <c r="D1105" s="31">
        <f t="shared" si="501"/>
        <v>4210000</v>
      </c>
      <c r="E1105" s="31">
        <v>0</v>
      </c>
      <c r="F1105" s="31">
        <v>0</v>
      </c>
      <c r="G1105" s="31">
        <v>0</v>
      </c>
      <c r="H1105" s="31">
        <v>0</v>
      </c>
      <c r="I1105" s="31">
        <v>0</v>
      </c>
      <c r="J1105" s="31">
        <v>0</v>
      </c>
      <c r="K1105" s="33">
        <v>0</v>
      </c>
      <c r="L1105" s="31">
        <v>0</v>
      </c>
      <c r="M1105" s="31">
        <v>748</v>
      </c>
      <c r="N1105" s="31">
        <v>4000000</v>
      </c>
      <c r="O1105" s="31">
        <v>0</v>
      </c>
      <c r="P1105" s="31">
        <v>0</v>
      </c>
      <c r="Q1105" s="31">
        <v>0</v>
      </c>
      <c r="R1105" s="31">
        <v>0</v>
      </c>
      <c r="S1105" s="31">
        <v>0</v>
      </c>
      <c r="T1105" s="31">
        <v>0</v>
      </c>
      <c r="U1105" s="31">
        <v>0</v>
      </c>
      <c r="V1105" s="31">
        <v>0</v>
      </c>
      <c r="W1105" s="31">
        <v>0</v>
      </c>
      <c r="X1105" s="31">
        <v>0</v>
      </c>
      <c r="Y1105" s="31">
        <v>0</v>
      </c>
      <c r="Z1105" s="31">
        <v>0</v>
      </c>
      <c r="AA1105" s="31">
        <v>0</v>
      </c>
      <c r="AB1105" s="31">
        <v>0</v>
      </c>
      <c r="AC1105" s="31">
        <f t="shared" si="502"/>
        <v>60000</v>
      </c>
      <c r="AD1105" s="31">
        <v>150000</v>
      </c>
      <c r="AE1105" s="31">
        <v>0</v>
      </c>
      <c r="AF1105" s="34">
        <v>2022</v>
      </c>
      <c r="AG1105" s="34">
        <v>2022</v>
      </c>
      <c r="AH1105" s="35">
        <v>2022</v>
      </c>
      <c r="AT1105" s="20" t="e">
        <f t="shared" si="486"/>
        <v>#N/A</v>
      </c>
    </row>
    <row r="1106" spans="1:46" ht="61.5" x14ac:dyDescent="0.85">
      <c r="A1106" s="20">
        <v>1</v>
      </c>
      <c r="B1106" s="66">
        <f>SUBTOTAL(103,$A$929:A1106)</f>
        <v>154</v>
      </c>
      <c r="C1106" s="24" t="s">
        <v>137</v>
      </c>
      <c r="D1106" s="31">
        <f t="shared" si="501"/>
        <v>4587373.3600000003</v>
      </c>
      <c r="E1106" s="31">
        <v>0</v>
      </c>
      <c r="F1106" s="31">
        <v>0</v>
      </c>
      <c r="G1106" s="31">
        <v>0</v>
      </c>
      <c r="H1106" s="31">
        <v>0</v>
      </c>
      <c r="I1106" s="31">
        <v>0</v>
      </c>
      <c r="J1106" s="31">
        <v>0</v>
      </c>
      <c r="K1106" s="33">
        <v>0</v>
      </c>
      <c r="L1106" s="31">
        <v>0</v>
      </c>
      <c r="M1106" s="31">
        <v>825</v>
      </c>
      <c r="N1106" s="31">
        <f>3916256.16+455540.25</f>
        <v>4371796.41</v>
      </c>
      <c r="O1106" s="31">
        <v>0</v>
      </c>
      <c r="P1106" s="31">
        <v>0</v>
      </c>
      <c r="Q1106" s="31">
        <v>0</v>
      </c>
      <c r="R1106" s="31">
        <v>0</v>
      </c>
      <c r="S1106" s="31">
        <v>0</v>
      </c>
      <c r="T1106" s="31">
        <v>0</v>
      </c>
      <c r="U1106" s="31">
        <v>0</v>
      </c>
      <c r="V1106" s="31">
        <v>0</v>
      </c>
      <c r="W1106" s="31">
        <v>0</v>
      </c>
      <c r="X1106" s="31">
        <v>0</v>
      </c>
      <c r="Y1106" s="31">
        <v>0</v>
      </c>
      <c r="Z1106" s="31">
        <v>0</v>
      </c>
      <c r="AA1106" s="31">
        <v>0</v>
      </c>
      <c r="AB1106" s="31">
        <v>0</v>
      </c>
      <c r="AC1106" s="31">
        <f t="shared" si="502"/>
        <v>65576.95</v>
      </c>
      <c r="AD1106" s="31">
        <v>150000</v>
      </c>
      <c r="AE1106" s="31">
        <v>0</v>
      </c>
      <c r="AF1106" s="34">
        <v>2022</v>
      </c>
      <c r="AG1106" s="34">
        <v>2022</v>
      </c>
      <c r="AH1106" s="35">
        <v>2022</v>
      </c>
      <c r="AT1106" s="20" t="e">
        <f t="shared" si="486"/>
        <v>#N/A</v>
      </c>
    </row>
    <row r="1107" spans="1:46" ht="61.5" x14ac:dyDescent="0.85">
      <c r="A1107" s="20">
        <v>1</v>
      </c>
      <c r="B1107" s="66">
        <f>SUBTOTAL(103,$A$929:A1107)</f>
        <v>155</v>
      </c>
      <c r="C1107" s="24" t="s">
        <v>133</v>
      </c>
      <c r="D1107" s="31">
        <f t="shared" si="501"/>
        <v>5599375.7199999997</v>
      </c>
      <c r="E1107" s="31">
        <v>0</v>
      </c>
      <c r="F1107" s="31">
        <v>0</v>
      </c>
      <c r="G1107" s="31">
        <v>0</v>
      </c>
      <c r="H1107" s="31">
        <v>0</v>
      </c>
      <c r="I1107" s="31">
        <v>0</v>
      </c>
      <c r="J1107" s="31">
        <v>0</v>
      </c>
      <c r="K1107" s="33">
        <v>0</v>
      </c>
      <c r="L1107" s="31">
        <v>0</v>
      </c>
      <c r="M1107" s="31">
        <v>1007</v>
      </c>
      <c r="N1107" s="31">
        <f>4783251.23+556035.19</f>
        <v>5339286.42</v>
      </c>
      <c r="O1107" s="31">
        <v>0</v>
      </c>
      <c r="P1107" s="31">
        <v>0</v>
      </c>
      <c r="Q1107" s="31">
        <v>0</v>
      </c>
      <c r="R1107" s="31">
        <v>0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v>0</v>
      </c>
      <c r="Y1107" s="31">
        <v>0</v>
      </c>
      <c r="Z1107" s="31">
        <v>0</v>
      </c>
      <c r="AA1107" s="31">
        <v>0</v>
      </c>
      <c r="AB1107" s="31">
        <v>0</v>
      </c>
      <c r="AC1107" s="31">
        <f t="shared" si="502"/>
        <v>80089.3</v>
      </c>
      <c r="AD1107" s="31">
        <v>180000</v>
      </c>
      <c r="AE1107" s="31">
        <v>0</v>
      </c>
      <c r="AF1107" s="34">
        <v>2022</v>
      </c>
      <c r="AG1107" s="34">
        <v>2022</v>
      </c>
      <c r="AH1107" s="35">
        <v>2022</v>
      </c>
      <c r="AT1107" s="20" t="e">
        <f t="shared" si="486"/>
        <v>#N/A</v>
      </c>
    </row>
    <row r="1108" spans="1:46" ht="61.5" x14ac:dyDescent="0.85">
      <c r="A1108" s="20">
        <v>1</v>
      </c>
      <c r="B1108" s="66">
        <f>SUBTOTAL(103,$A$929:A1108)</f>
        <v>156</v>
      </c>
      <c r="C1108" s="24" t="s">
        <v>134</v>
      </c>
      <c r="D1108" s="31">
        <f t="shared" si="501"/>
        <v>4480243.62</v>
      </c>
      <c r="E1108" s="31">
        <v>0</v>
      </c>
      <c r="F1108" s="31">
        <v>0</v>
      </c>
      <c r="G1108" s="31">
        <v>0</v>
      </c>
      <c r="H1108" s="31">
        <v>0</v>
      </c>
      <c r="I1108" s="31">
        <v>0</v>
      </c>
      <c r="J1108" s="31">
        <v>0</v>
      </c>
      <c r="K1108" s="33">
        <v>0</v>
      </c>
      <c r="L1108" s="31">
        <v>0</v>
      </c>
      <c r="M1108" s="31">
        <v>772.6</v>
      </c>
      <c r="N1108" s="31">
        <f>3201418.72+426606.54+638224.61</f>
        <v>4266249.87</v>
      </c>
      <c r="O1108" s="31">
        <v>0</v>
      </c>
      <c r="P1108" s="31">
        <v>0</v>
      </c>
      <c r="Q1108" s="31">
        <v>0</v>
      </c>
      <c r="R1108" s="31">
        <v>0</v>
      </c>
      <c r="S1108" s="31">
        <v>0</v>
      </c>
      <c r="T1108" s="31">
        <v>0</v>
      </c>
      <c r="U1108" s="31">
        <v>0</v>
      </c>
      <c r="V1108" s="31">
        <v>0</v>
      </c>
      <c r="W1108" s="31">
        <v>0</v>
      </c>
      <c r="X1108" s="31">
        <v>0</v>
      </c>
      <c r="Y1108" s="31">
        <v>0</v>
      </c>
      <c r="Z1108" s="31">
        <v>0</v>
      </c>
      <c r="AA1108" s="31">
        <v>0</v>
      </c>
      <c r="AB1108" s="31">
        <v>0</v>
      </c>
      <c r="AC1108" s="31">
        <f t="shared" si="502"/>
        <v>63993.75</v>
      </c>
      <c r="AD1108" s="31">
        <v>150000</v>
      </c>
      <c r="AE1108" s="31">
        <v>0</v>
      </c>
      <c r="AF1108" s="34">
        <v>2022</v>
      </c>
      <c r="AG1108" s="34">
        <v>2022</v>
      </c>
      <c r="AH1108" s="35">
        <v>2022</v>
      </c>
      <c r="AT1108" s="20" t="e">
        <f t="shared" si="486"/>
        <v>#N/A</v>
      </c>
    </row>
    <row r="1109" spans="1:46" ht="61.5" x14ac:dyDescent="0.85">
      <c r="A1109" s="20">
        <v>1</v>
      </c>
      <c r="B1109" s="66">
        <f>SUBTOTAL(103,$A$929:A1109)</f>
        <v>157</v>
      </c>
      <c r="C1109" s="24" t="s">
        <v>1695</v>
      </c>
      <c r="D1109" s="31">
        <f t="shared" si="501"/>
        <v>3004662.15</v>
      </c>
      <c r="E1109" s="31">
        <v>0</v>
      </c>
      <c r="F1109" s="31">
        <v>0</v>
      </c>
      <c r="G1109" s="31">
        <v>0</v>
      </c>
      <c r="H1109" s="31">
        <v>0</v>
      </c>
      <c r="I1109" s="31">
        <v>0</v>
      </c>
      <c r="J1109" s="31">
        <v>0</v>
      </c>
      <c r="K1109" s="33">
        <v>0</v>
      </c>
      <c r="L1109" s="31">
        <v>0</v>
      </c>
      <c r="M1109" s="31">
        <v>0</v>
      </c>
      <c r="N1109" s="31">
        <v>0</v>
      </c>
      <c r="O1109" s="31">
        <v>0</v>
      </c>
      <c r="P1109" s="31">
        <v>0</v>
      </c>
      <c r="Q1109" s="31">
        <v>0</v>
      </c>
      <c r="R1109" s="31">
        <v>0</v>
      </c>
      <c r="S1109" s="31">
        <v>0</v>
      </c>
      <c r="T1109" s="31">
        <v>0</v>
      </c>
      <c r="U1109" s="31">
        <f>2786886.72+25588.3</f>
        <v>2812475.02</v>
      </c>
      <c r="V1109" s="31">
        <v>0</v>
      </c>
      <c r="W1109" s="31">
        <v>0</v>
      </c>
      <c r="X1109" s="31">
        <v>0</v>
      </c>
      <c r="Y1109" s="31">
        <v>0</v>
      </c>
      <c r="Z1109" s="31">
        <v>0</v>
      </c>
      <c r="AA1109" s="31">
        <v>0</v>
      </c>
      <c r="AB1109" s="31">
        <v>0</v>
      </c>
      <c r="AC1109" s="31">
        <f>ROUND(U1109*1.5%,2)</f>
        <v>42187.13</v>
      </c>
      <c r="AD1109" s="31">
        <v>150000</v>
      </c>
      <c r="AE1109" s="31">
        <v>0</v>
      </c>
      <c r="AF1109" s="34">
        <v>2022</v>
      </c>
      <c r="AG1109" s="34">
        <v>2022</v>
      </c>
      <c r="AH1109" s="35">
        <v>2022</v>
      </c>
    </row>
    <row r="1110" spans="1:46" ht="61.5" x14ac:dyDescent="0.85">
      <c r="B1110" s="24" t="s">
        <v>880</v>
      </c>
      <c r="C1110" s="117"/>
      <c r="D1110" s="31">
        <f>D1111+D1112</f>
        <v>5777967.8699999992</v>
      </c>
      <c r="E1110" s="31">
        <f t="shared" ref="E1110:AE1110" si="503">E1111+E1112</f>
        <v>0</v>
      </c>
      <c r="F1110" s="31">
        <f t="shared" si="503"/>
        <v>0</v>
      </c>
      <c r="G1110" s="31">
        <f t="shared" si="503"/>
        <v>0</v>
      </c>
      <c r="H1110" s="31">
        <f t="shared" si="503"/>
        <v>0</v>
      </c>
      <c r="I1110" s="31">
        <f t="shared" si="503"/>
        <v>0</v>
      </c>
      <c r="J1110" s="31">
        <f t="shared" si="503"/>
        <v>0</v>
      </c>
      <c r="K1110" s="33">
        <f t="shared" si="503"/>
        <v>0</v>
      </c>
      <c r="L1110" s="31">
        <f t="shared" si="503"/>
        <v>0</v>
      </c>
      <c r="M1110" s="31">
        <f t="shared" si="503"/>
        <v>630</v>
      </c>
      <c r="N1110" s="31">
        <f t="shared" si="503"/>
        <v>3258269.85</v>
      </c>
      <c r="O1110" s="31">
        <f t="shared" si="503"/>
        <v>0</v>
      </c>
      <c r="P1110" s="31">
        <f t="shared" si="503"/>
        <v>0</v>
      </c>
      <c r="Q1110" s="31">
        <f t="shared" si="503"/>
        <v>437</v>
      </c>
      <c r="R1110" s="31">
        <f t="shared" si="503"/>
        <v>2158447.2599999998</v>
      </c>
      <c r="S1110" s="31">
        <f t="shared" si="503"/>
        <v>0</v>
      </c>
      <c r="T1110" s="31">
        <f t="shared" si="503"/>
        <v>0</v>
      </c>
      <c r="U1110" s="31">
        <f t="shared" si="503"/>
        <v>0</v>
      </c>
      <c r="V1110" s="31">
        <f t="shared" si="503"/>
        <v>0</v>
      </c>
      <c r="W1110" s="31">
        <f t="shared" si="503"/>
        <v>0</v>
      </c>
      <c r="X1110" s="31">
        <f t="shared" si="503"/>
        <v>0</v>
      </c>
      <c r="Y1110" s="31">
        <f t="shared" si="503"/>
        <v>0</v>
      </c>
      <c r="Z1110" s="31">
        <f t="shared" si="503"/>
        <v>0</v>
      </c>
      <c r="AA1110" s="31">
        <f t="shared" si="503"/>
        <v>0</v>
      </c>
      <c r="AB1110" s="31">
        <f t="shared" si="503"/>
        <v>0</v>
      </c>
      <c r="AC1110" s="31">
        <f t="shared" si="503"/>
        <v>81250.760000000009</v>
      </c>
      <c r="AD1110" s="31">
        <f t="shared" si="503"/>
        <v>280000</v>
      </c>
      <c r="AE1110" s="31">
        <f t="shared" si="503"/>
        <v>0</v>
      </c>
      <c r="AF1110" s="119" t="s">
        <v>794</v>
      </c>
      <c r="AG1110" s="119" t="s">
        <v>794</v>
      </c>
      <c r="AH1110" s="120" t="s">
        <v>794</v>
      </c>
      <c r="AT1110" s="20" t="e">
        <f t="shared" ref="AT1110:AT1152" si="504">VLOOKUP(C1110,AW:AX,2,FALSE)</f>
        <v>#N/A</v>
      </c>
    </row>
    <row r="1111" spans="1:46" ht="61.5" x14ac:dyDescent="0.85">
      <c r="A1111" s="20">
        <v>1</v>
      </c>
      <c r="B1111" s="66">
        <f>SUBTOTAL(103,$A$929:A1111)</f>
        <v>158</v>
      </c>
      <c r="C1111" s="24" t="s">
        <v>182</v>
      </c>
      <c r="D1111" s="31">
        <f t="shared" ref="D1111:D1112" si="505">E1111+F1111+G1111+H1111+I1111+J1111+L1111+N1111+P1111+R1111+T1111+U1111+V1111+W1111+X1111+Y1111+Z1111+AA1111+AB1111+AC1111+AD1111+AE1111</f>
        <v>3457143.9</v>
      </c>
      <c r="E1111" s="31">
        <v>0</v>
      </c>
      <c r="F1111" s="31">
        <v>0</v>
      </c>
      <c r="G1111" s="31">
        <v>0</v>
      </c>
      <c r="H1111" s="31">
        <v>0</v>
      </c>
      <c r="I1111" s="31">
        <v>0</v>
      </c>
      <c r="J1111" s="31">
        <v>0</v>
      </c>
      <c r="K1111" s="33">
        <v>0</v>
      </c>
      <c r="L1111" s="31">
        <v>0</v>
      </c>
      <c r="M1111" s="31">
        <v>630</v>
      </c>
      <c r="N1111" s="31">
        <v>3258269.85</v>
      </c>
      <c r="O1111" s="31">
        <v>0</v>
      </c>
      <c r="P1111" s="31">
        <v>0</v>
      </c>
      <c r="Q1111" s="31">
        <v>0</v>
      </c>
      <c r="R1111" s="31">
        <v>0</v>
      </c>
      <c r="S1111" s="31">
        <v>0</v>
      </c>
      <c r="T1111" s="31">
        <v>0</v>
      </c>
      <c r="U1111" s="31">
        <v>0</v>
      </c>
      <c r="V1111" s="31">
        <v>0</v>
      </c>
      <c r="W1111" s="31">
        <v>0</v>
      </c>
      <c r="X1111" s="31">
        <v>0</v>
      </c>
      <c r="Y1111" s="31">
        <v>0</v>
      </c>
      <c r="Z1111" s="31">
        <v>0</v>
      </c>
      <c r="AA1111" s="31">
        <v>0</v>
      </c>
      <c r="AB1111" s="31">
        <v>0</v>
      </c>
      <c r="AC1111" s="31">
        <f>ROUND(N1111*1.5%,2)</f>
        <v>48874.05</v>
      </c>
      <c r="AD1111" s="31">
        <v>150000</v>
      </c>
      <c r="AE1111" s="31">
        <v>0</v>
      </c>
      <c r="AF1111" s="34">
        <v>2022</v>
      </c>
      <c r="AG1111" s="34">
        <v>2022</v>
      </c>
      <c r="AH1111" s="35">
        <v>2022</v>
      </c>
      <c r="AT1111" s="20" t="e">
        <f t="shared" si="504"/>
        <v>#N/A</v>
      </c>
    </row>
    <row r="1112" spans="1:46" ht="61.5" x14ac:dyDescent="0.85">
      <c r="A1112" s="20">
        <v>1</v>
      </c>
      <c r="B1112" s="66">
        <f>SUBTOTAL(103,$A$929:A1112)</f>
        <v>159</v>
      </c>
      <c r="C1112" s="24" t="s">
        <v>183</v>
      </c>
      <c r="D1112" s="31">
        <f t="shared" si="505"/>
        <v>2320823.9699999997</v>
      </c>
      <c r="E1112" s="31">
        <v>0</v>
      </c>
      <c r="F1112" s="31">
        <v>0</v>
      </c>
      <c r="G1112" s="31">
        <v>0</v>
      </c>
      <c r="H1112" s="31">
        <v>0</v>
      </c>
      <c r="I1112" s="31">
        <v>0</v>
      </c>
      <c r="J1112" s="31">
        <v>0</v>
      </c>
      <c r="K1112" s="33">
        <v>0</v>
      </c>
      <c r="L1112" s="31">
        <v>0</v>
      </c>
      <c r="M1112" s="31">
        <v>0</v>
      </c>
      <c r="N1112" s="31">
        <v>0</v>
      </c>
      <c r="O1112" s="31">
        <v>0</v>
      </c>
      <c r="P1112" s="31">
        <v>0</v>
      </c>
      <c r="Q1112" s="31">
        <v>437</v>
      </c>
      <c r="R1112" s="31">
        <v>2158447.2599999998</v>
      </c>
      <c r="S1112" s="31">
        <v>0</v>
      </c>
      <c r="T1112" s="31">
        <v>0</v>
      </c>
      <c r="U1112" s="31">
        <v>0</v>
      </c>
      <c r="V1112" s="31">
        <v>0</v>
      </c>
      <c r="W1112" s="31">
        <v>0</v>
      </c>
      <c r="X1112" s="31">
        <v>0</v>
      </c>
      <c r="Y1112" s="31">
        <v>0</v>
      </c>
      <c r="Z1112" s="31">
        <v>0</v>
      </c>
      <c r="AA1112" s="31">
        <v>0</v>
      </c>
      <c r="AB1112" s="31">
        <v>0</v>
      </c>
      <c r="AC1112" s="31">
        <f t="shared" ref="AC1112" si="506">ROUND(R1112*1.5%,2)</f>
        <v>32376.71</v>
      </c>
      <c r="AD1112" s="31">
        <v>130000</v>
      </c>
      <c r="AE1112" s="31">
        <v>0</v>
      </c>
      <c r="AF1112" s="34">
        <v>2022</v>
      </c>
      <c r="AG1112" s="34">
        <v>2022</v>
      </c>
      <c r="AH1112" s="35">
        <v>2022</v>
      </c>
      <c r="AT1112" s="20" t="e">
        <f t="shared" si="504"/>
        <v>#N/A</v>
      </c>
    </row>
    <row r="1113" spans="1:46" ht="61.5" x14ac:dyDescent="0.85">
      <c r="B1113" s="24" t="s">
        <v>877</v>
      </c>
      <c r="C1113" s="24"/>
      <c r="D1113" s="31">
        <f>D1114+D1115+D1116</f>
        <v>4715781.71</v>
      </c>
      <c r="E1113" s="31">
        <f t="shared" ref="E1113:AE1113" si="507">E1114+E1115+E1116</f>
        <v>0</v>
      </c>
      <c r="F1113" s="31">
        <f t="shared" si="507"/>
        <v>0</v>
      </c>
      <c r="G1113" s="31">
        <f t="shared" si="507"/>
        <v>0</v>
      </c>
      <c r="H1113" s="31">
        <f t="shared" si="507"/>
        <v>0</v>
      </c>
      <c r="I1113" s="31">
        <f t="shared" si="507"/>
        <v>0</v>
      </c>
      <c r="J1113" s="31">
        <f t="shared" si="507"/>
        <v>0</v>
      </c>
      <c r="K1113" s="33">
        <f t="shared" si="507"/>
        <v>0</v>
      </c>
      <c r="L1113" s="31">
        <f t="shared" si="507"/>
        <v>0</v>
      </c>
      <c r="M1113" s="31">
        <f t="shared" si="507"/>
        <v>543</v>
      </c>
      <c r="N1113" s="31">
        <f t="shared" si="507"/>
        <v>2724828.46</v>
      </c>
      <c r="O1113" s="31">
        <f t="shared" si="507"/>
        <v>0</v>
      </c>
      <c r="P1113" s="31">
        <f t="shared" si="507"/>
        <v>0</v>
      </c>
      <c r="Q1113" s="31">
        <f t="shared" si="507"/>
        <v>322</v>
      </c>
      <c r="R1113" s="31">
        <f t="shared" si="507"/>
        <v>1586286.52</v>
      </c>
      <c r="S1113" s="31">
        <f t="shared" si="507"/>
        <v>0</v>
      </c>
      <c r="T1113" s="31">
        <f t="shared" si="507"/>
        <v>0</v>
      </c>
      <c r="U1113" s="31">
        <f t="shared" si="507"/>
        <v>0</v>
      </c>
      <c r="V1113" s="31">
        <f t="shared" si="507"/>
        <v>0</v>
      </c>
      <c r="W1113" s="31">
        <f t="shared" si="507"/>
        <v>0</v>
      </c>
      <c r="X1113" s="31">
        <f t="shared" si="507"/>
        <v>0</v>
      </c>
      <c r="Y1113" s="31">
        <f t="shared" si="507"/>
        <v>0</v>
      </c>
      <c r="Z1113" s="31">
        <f t="shared" si="507"/>
        <v>0</v>
      </c>
      <c r="AA1113" s="31">
        <f t="shared" si="507"/>
        <v>0</v>
      </c>
      <c r="AB1113" s="31">
        <f t="shared" si="507"/>
        <v>0</v>
      </c>
      <c r="AC1113" s="31">
        <f t="shared" si="507"/>
        <v>64666.729999999996</v>
      </c>
      <c r="AD1113" s="31">
        <f t="shared" si="507"/>
        <v>340000</v>
      </c>
      <c r="AE1113" s="31">
        <f t="shared" si="507"/>
        <v>0</v>
      </c>
      <c r="AF1113" s="119" t="s">
        <v>794</v>
      </c>
      <c r="AG1113" s="119" t="s">
        <v>794</v>
      </c>
      <c r="AH1113" s="120" t="s">
        <v>794</v>
      </c>
      <c r="AT1113" s="20" t="e">
        <f t="shared" si="504"/>
        <v>#N/A</v>
      </c>
    </row>
    <row r="1114" spans="1:46" ht="61.5" x14ac:dyDescent="0.85">
      <c r="A1114" s="20">
        <v>1</v>
      </c>
      <c r="B1114" s="66">
        <f>SUBTOTAL(103,$A$929:A1114)</f>
        <v>160</v>
      </c>
      <c r="C1114" s="24" t="s">
        <v>835</v>
      </c>
      <c r="D1114" s="31">
        <f t="shared" ref="D1114:D1116" si="508">E1114+F1114+G1114+H1114+I1114+J1114+L1114+N1114+P1114+R1114+T1114+U1114+V1114+W1114+X1114+Y1114+Z1114+AA1114+AB1114+AC1114+AD1114+AE1114</f>
        <v>1710080.82</v>
      </c>
      <c r="E1114" s="31">
        <v>0</v>
      </c>
      <c r="F1114" s="31">
        <v>0</v>
      </c>
      <c r="G1114" s="31">
        <v>0</v>
      </c>
      <c r="H1114" s="31">
        <v>0</v>
      </c>
      <c r="I1114" s="31">
        <v>0</v>
      </c>
      <c r="J1114" s="31">
        <v>0</v>
      </c>
      <c r="K1114" s="33">
        <v>0</v>
      </c>
      <c r="L1114" s="31">
        <v>0</v>
      </c>
      <c r="M1114" s="31">
        <v>0</v>
      </c>
      <c r="N1114" s="31">
        <v>0</v>
      </c>
      <c r="O1114" s="31">
        <v>0</v>
      </c>
      <c r="P1114" s="31">
        <v>0</v>
      </c>
      <c r="Q1114" s="31">
        <v>322</v>
      </c>
      <c r="R1114" s="31">
        <v>1586286.52</v>
      </c>
      <c r="S1114" s="31">
        <v>0</v>
      </c>
      <c r="T1114" s="31">
        <v>0</v>
      </c>
      <c r="U1114" s="31">
        <v>0</v>
      </c>
      <c r="V1114" s="31">
        <v>0</v>
      </c>
      <c r="W1114" s="31">
        <v>0</v>
      </c>
      <c r="X1114" s="31">
        <v>0</v>
      </c>
      <c r="Y1114" s="31">
        <v>0</v>
      </c>
      <c r="Z1114" s="31">
        <v>0</v>
      </c>
      <c r="AA1114" s="31">
        <v>0</v>
      </c>
      <c r="AB1114" s="31">
        <v>0</v>
      </c>
      <c r="AC1114" s="31">
        <f t="shared" ref="AC1114" si="509">ROUND(R1114*1.5%,2)</f>
        <v>23794.3</v>
      </c>
      <c r="AD1114" s="31">
        <v>100000</v>
      </c>
      <c r="AE1114" s="31">
        <v>0</v>
      </c>
      <c r="AF1114" s="34">
        <v>2022</v>
      </c>
      <c r="AG1114" s="34">
        <v>2022</v>
      </c>
      <c r="AH1114" s="35">
        <v>2022</v>
      </c>
      <c r="AT1114" s="20" t="e">
        <f t="shared" si="504"/>
        <v>#N/A</v>
      </c>
    </row>
    <row r="1115" spans="1:46" ht="61.5" x14ac:dyDescent="0.85">
      <c r="A1115" s="20">
        <v>1</v>
      </c>
      <c r="B1115" s="66">
        <f>SUBTOTAL(103,$A$929:A1115)</f>
        <v>161</v>
      </c>
      <c r="C1115" s="24" t="s">
        <v>187</v>
      </c>
      <c r="D1115" s="31">
        <f t="shared" si="508"/>
        <v>1452729.9</v>
      </c>
      <c r="E1115" s="31">
        <v>0</v>
      </c>
      <c r="F1115" s="31">
        <v>0</v>
      </c>
      <c r="G1115" s="31">
        <v>0</v>
      </c>
      <c r="H1115" s="31">
        <v>0</v>
      </c>
      <c r="I1115" s="31">
        <v>0</v>
      </c>
      <c r="J1115" s="31">
        <v>0</v>
      </c>
      <c r="K1115" s="33">
        <v>0</v>
      </c>
      <c r="L1115" s="31">
        <v>0</v>
      </c>
      <c r="M1115" s="31">
        <v>260</v>
      </c>
      <c r="N1115" s="31">
        <v>1313034.3799999999</v>
      </c>
      <c r="O1115" s="31">
        <v>0</v>
      </c>
      <c r="P1115" s="31">
        <v>0</v>
      </c>
      <c r="Q1115" s="31">
        <v>0</v>
      </c>
      <c r="R1115" s="31">
        <v>0</v>
      </c>
      <c r="S1115" s="31">
        <v>0</v>
      </c>
      <c r="T1115" s="31">
        <v>0</v>
      </c>
      <c r="U1115" s="31">
        <v>0</v>
      </c>
      <c r="V1115" s="31">
        <v>0</v>
      </c>
      <c r="W1115" s="31">
        <v>0</v>
      </c>
      <c r="X1115" s="31">
        <v>0</v>
      </c>
      <c r="Y1115" s="31">
        <v>0</v>
      </c>
      <c r="Z1115" s="31">
        <v>0</v>
      </c>
      <c r="AA1115" s="31">
        <v>0</v>
      </c>
      <c r="AB1115" s="31">
        <v>0</v>
      </c>
      <c r="AC1115" s="31">
        <f t="shared" ref="AC1115:AC1116" si="510">ROUND(N1115*1.5%,2)</f>
        <v>19695.52</v>
      </c>
      <c r="AD1115" s="31">
        <v>120000</v>
      </c>
      <c r="AE1115" s="31">
        <v>0</v>
      </c>
      <c r="AF1115" s="34">
        <v>2022</v>
      </c>
      <c r="AG1115" s="34">
        <v>2022</v>
      </c>
      <c r="AH1115" s="35">
        <v>2022</v>
      </c>
      <c r="AT1115" s="20" t="e">
        <f t="shared" si="504"/>
        <v>#N/A</v>
      </c>
    </row>
    <row r="1116" spans="1:46" ht="61.5" x14ac:dyDescent="0.85">
      <c r="A1116" s="20">
        <v>1</v>
      </c>
      <c r="B1116" s="66">
        <f>SUBTOTAL(103,$A$929:A1116)</f>
        <v>162</v>
      </c>
      <c r="C1116" s="24" t="s">
        <v>184</v>
      </c>
      <c r="D1116" s="31">
        <f t="shared" si="508"/>
        <v>1552970.99</v>
      </c>
      <c r="E1116" s="31">
        <v>0</v>
      </c>
      <c r="F1116" s="31">
        <v>0</v>
      </c>
      <c r="G1116" s="31">
        <v>0</v>
      </c>
      <c r="H1116" s="31">
        <v>0</v>
      </c>
      <c r="I1116" s="31">
        <v>0</v>
      </c>
      <c r="J1116" s="31">
        <v>0</v>
      </c>
      <c r="K1116" s="33">
        <v>0</v>
      </c>
      <c r="L1116" s="31">
        <v>0</v>
      </c>
      <c r="M1116" s="31">
        <v>283</v>
      </c>
      <c r="N1116" s="31">
        <v>1411794.08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  <c r="V1116" s="31">
        <v>0</v>
      </c>
      <c r="W1116" s="31">
        <v>0</v>
      </c>
      <c r="X1116" s="31">
        <v>0</v>
      </c>
      <c r="Y1116" s="31">
        <v>0</v>
      </c>
      <c r="Z1116" s="31">
        <v>0</v>
      </c>
      <c r="AA1116" s="31">
        <v>0</v>
      </c>
      <c r="AB1116" s="31">
        <v>0</v>
      </c>
      <c r="AC1116" s="31">
        <f t="shared" si="510"/>
        <v>21176.91</v>
      </c>
      <c r="AD1116" s="31">
        <v>120000</v>
      </c>
      <c r="AE1116" s="31">
        <v>0</v>
      </c>
      <c r="AF1116" s="34">
        <v>2022</v>
      </c>
      <c r="AG1116" s="34">
        <v>2022</v>
      </c>
      <c r="AH1116" s="35">
        <v>2022</v>
      </c>
      <c r="AT1116" s="20" t="e">
        <f t="shared" si="504"/>
        <v>#N/A</v>
      </c>
    </row>
    <row r="1117" spans="1:46" ht="61.5" x14ac:dyDescent="0.85">
      <c r="B1117" s="24" t="s">
        <v>878</v>
      </c>
      <c r="C1117" s="24"/>
      <c r="D1117" s="31">
        <f>D1118+D1119</f>
        <v>2590114.16</v>
      </c>
      <c r="E1117" s="31">
        <f t="shared" ref="E1117:AE1117" si="511">E1118+E1119</f>
        <v>0</v>
      </c>
      <c r="F1117" s="31">
        <f t="shared" si="511"/>
        <v>0</v>
      </c>
      <c r="G1117" s="31">
        <f t="shared" si="511"/>
        <v>0</v>
      </c>
      <c r="H1117" s="31">
        <f t="shared" si="511"/>
        <v>0</v>
      </c>
      <c r="I1117" s="31">
        <f t="shared" si="511"/>
        <v>0</v>
      </c>
      <c r="J1117" s="31">
        <f t="shared" si="511"/>
        <v>0</v>
      </c>
      <c r="K1117" s="33">
        <f t="shared" si="511"/>
        <v>0</v>
      </c>
      <c r="L1117" s="31">
        <f t="shared" si="511"/>
        <v>0</v>
      </c>
      <c r="M1117" s="31">
        <f t="shared" si="511"/>
        <v>472</v>
      </c>
      <c r="N1117" s="31">
        <f t="shared" si="511"/>
        <v>2315383.41</v>
      </c>
      <c r="O1117" s="31">
        <f t="shared" si="511"/>
        <v>0</v>
      </c>
      <c r="P1117" s="31">
        <f t="shared" si="511"/>
        <v>0</v>
      </c>
      <c r="Q1117" s="31">
        <f t="shared" si="511"/>
        <v>0</v>
      </c>
      <c r="R1117" s="31">
        <f t="shared" si="511"/>
        <v>0</v>
      </c>
      <c r="S1117" s="31">
        <f t="shared" si="511"/>
        <v>0</v>
      </c>
      <c r="T1117" s="31">
        <f t="shared" si="511"/>
        <v>0</v>
      </c>
      <c r="U1117" s="31">
        <f t="shared" si="511"/>
        <v>0</v>
      </c>
      <c r="V1117" s="31">
        <f t="shared" si="511"/>
        <v>0</v>
      </c>
      <c r="W1117" s="31">
        <f t="shared" si="511"/>
        <v>0</v>
      </c>
      <c r="X1117" s="31">
        <f t="shared" si="511"/>
        <v>0</v>
      </c>
      <c r="Y1117" s="31">
        <f t="shared" si="511"/>
        <v>0</v>
      </c>
      <c r="Z1117" s="31">
        <f t="shared" si="511"/>
        <v>0</v>
      </c>
      <c r="AA1117" s="31">
        <f t="shared" si="511"/>
        <v>0</v>
      </c>
      <c r="AB1117" s="31">
        <f t="shared" si="511"/>
        <v>0</v>
      </c>
      <c r="AC1117" s="31">
        <f t="shared" si="511"/>
        <v>34730.75</v>
      </c>
      <c r="AD1117" s="31">
        <f t="shared" si="511"/>
        <v>240000</v>
      </c>
      <c r="AE1117" s="31">
        <f t="shared" si="511"/>
        <v>0</v>
      </c>
      <c r="AF1117" s="119" t="s">
        <v>794</v>
      </c>
      <c r="AG1117" s="119" t="s">
        <v>794</v>
      </c>
      <c r="AH1117" s="120" t="s">
        <v>794</v>
      </c>
      <c r="AT1117" s="20" t="e">
        <f t="shared" si="504"/>
        <v>#N/A</v>
      </c>
    </row>
    <row r="1118" spans="1:46" ht="61.5" x14ac:dyDescent="0.85">
      <c r="A1118" s="20">
        <v>1</v>
      </c>
      <c r="B1118" s="66">
        <f>SUBTOTAL(103,$A$929:A1118)</f>
        <v>163</v>
      </c>
      <c r="C1118" s="24" t="s">
        <v>185</v>
      </c>
      <c r="D1118" s="31">
        <f t="shared" ref="D1118:D1119" si="512">E1118+F1118+G1118+H1118+I1118+J1118+L1118+N1118+P1118+R1118+T1118+U1118+V1118+W1118+X1118+Y1118+Z1118+AA1118+AB1118+AC1118+AD1118+AE1118</f>
        <v>1262131.9000000001</v>
      </c>
      <c r="E1118" s="31">
        <v>0</v>
      </c>
      <c r="F1118" s="31">
        <v>0</v>
      </c>
      <c r="G1118" s="31">
        <v>0</v>
      </c>
      <c r="H1118" s="31">
        <v>0</v>
      </c>
      <c r="I1118" s="31">
        <v>0</v>
      </c>
      <c r="J1118" s="31">
        <v>0</v>
      </c>
      <c r="K1118" s="33">
        <v>0</v>
      </c>
      <c r="L1118" s="31">
        <v>0</v>
      </c>
      <c r="M1118" s="31">
        <v>230</v>
      </c>
      <c r="N1118" s="31">
        <v>1125253.1000000001</v>
      </c>
      <c r="O1118" s="31">
        <v>0</v>
      </c>
      <c r="P1118" s="31">
        <v>0</v>
      </c>
      <c r="Q1118" s="31">
        <v>0</v>
      </c>
      <c r="R1118" s="31">
        <v>0</v>
      </c>
      <c r="S1118" s="31">
        <v>0</v>
      </c>
      <c r="T1118" s="31">
        <v>0</v>
      </c>
      <c r="U1118" s="31">
        <v>0</v>
      </c>
      <c r="V1118" s="31">
        <v>0</v>
      </c>
      <c r="W1118" s="31">
        <v>0</v>
      </c>
      <c r="X1118" s="31">
        <v>0</v>
      </c>
      <c r="Y1118" s="31">
        <v>0</v>
      </c>
      <c r="Z1118" s="31">
        <v>0</v>
      </c>
      <c r="AA1118" s="31">
        <v>0</v>
      </c>
      <c r="AB1118" s="31">
        <v>0</v>
      </c>
      <c r="AC1118" s="31">
        <f t="shared" ref="AC1118:AC1119" si="513">ROUND(N1118*1.5%,2)</f>
        <v>16878.8</v>
      </c>
      <c r="AD1118" s="31">
        <v>120000</v>
      </c>
      <c r="AE1118" s="31">
        <v>0</v>
      </c>
      <c r="AF1118" s="34">
        <v>2022</v>
      </c>
      <c r="AG1118" s="34">
        <v>2022</v>
      </c>
      <c r="AH1118" s="35">
        <v>2022</v>
      </c>
      <c r="AT1118" s="20" t="e">
        <f t="shared" si="504"/>
        <v>#N/A</v>
      </c>
    </row>
    <row r="1119" spans="1:46" ht="61.5" x14ac:dyDescent="0.85">
      <c r="A1119" s="20">
        <v>1</v>
      </c>
      <c r="B1119" s="66">
        <f>SUBTOTAL(103,$A$929:A1119)</f>
        <v>164</v>
      </c>
      <c r="C1119" s="24" t="s">
        <v>181</v>
      </c>
      <c r="D1119" s="31">
        <f t="shared" si="512"/>
        <v>1327982.26</v>
      </c>
      <c r="E1119" s="31">
        <v>0</v>
      </c>
      <c r="F1119" s="31">
        <v>0</v>
      </c>
      <c r="G1119" s="31">
        <v>0</v>
      </c>
      <c r="H1119" s="31">
        <v>0</v>
      </c>
      <c r="I1119" s="31">
        <v>0</v>
      </c>
      <c r="J1119" s="31">
        <v>0</v>
      </c>
      <c r="K1119" s="33">
        <v>0</v>
      </c>
      <c r="L1119" s="31">
        <v>0</v>
      </c>
      <c r="M1119" s="31">
        <v>242</v>
      </c>
      <c r="N1119" s="31">
        <v>1190130.31</v>
      </c>
      <c r="O1119" s="31">
        <v>0</v>
      </c>
      <c r="P1119" s="31">
        <v>0</v>
      </c>
      <c r="Q1119" s="31">
        <v>0</v>
      </c>
      <c r="R1119" s="31">
        <v>0</v>
      </c>
      <c r="S1119" s="31">
        <v>0</v>
      </c>
      <c r="T1119" s="31">
        <v>0</v>
      </c>
      <c r="U1119" s="31">
        <v>0</v>
      </c>
      <c r="V1119" s="31">
        <v>0</v>
      </c>
      <c r="W1119" s="31">
        <v>0</v>
      </c>
      <c r="X1119" s="31">
        <v>0</v>
      </c>
      <c r="Y1119" s="31">
        <v>0</v>
      </c>
      <c r="Z1119" s="31">
        <v>0</v>
      </c>
      <c r="AA1119" s="31">
        <v>0</v>
      </c>
      <c r="AB1119" s="31">
        <v>0</v>
      </c>
      <c r="AC1119" s="31">
        <f t="shared" si="513"/>
        <v>17851.95</v>
      </c>
      <c r="AD1119" s="31">
        <v>120000</v>
      </c>
      <c r="AE1119" s="31">
        <v>0</v>
      </c>
      <c r="AF1119" s="34">
        <v>2022</v>
      </c>
      <c r="AG1119" s="34">
        <v>2022</v>
      </c>
      <c r="AH1119" s="35">
        <v>2022</v>
      </c>
      <c r="AT1119" s="20" t="e">
        <f t="shared" si="504"/>
        <v>#N/A</v>
      </c>
    </row>
    <row r="1120" spans="1:46" ht="61.5" x14ac:dyDescent="0.85">
      <c r="B1120" s="24" t="s">
        <v>879</v>
      </c>
      <c r="C1120" s="24"/>
      <c r="D1120" s="31">
        <f>D1121</f>
        <v>1456533.11</v>
      </c>
      <c r="E1120" s="31">
        <f t="shared" ref="E1120:AE1120" si="514">E1121</f>
        <v>0</v>
      </c>
      <c r="F1120" s="31">
        <f t="shared" si="514"/>
        <v>0</v>
      </c>
      <c r="G1120" s="31">
        <f t="shared" si="514"/>
        <v>0</v>
      </c>
      <c r="H1120" s="31">
        <f t="shared" si="514"/>
        <v>0</v>
      </c>
      <c r="I1120" s="31">
        <f t="shared" si="514"/>
        <v>0</v>
      </c>
      <c r="J1120" s="31">
        <f t="shared" si="514"/>
        <v>0</v>
      </c>
      <c r="K1120" s="33">
        <f t="shared" si="514"/>
        <v>0</v>
      </c>
      <c r="L1120" s="31">
        <f t="shared" si="514"/>
        <v>0</v>
      </c>
      <c r="M1120" s="31">
        <f t="shared" si="514"/>
        <v>280</v>
      </c>
      <c r="N1120" s="31">
        <f t="shared" si="514"/>
        <v>1356190.26</v>
      </c>
      <c r="O1120" s="31">
        <f t="shared" si="514"/>
        <v>0</v>
      </c>
      <c r="P1120" s="31">
        <f t="shared" si="514"/>
        <v>0</v>
      </c>
      <c r="Q1120" s="31">
        <f t="shared" si="514"/>
        <v>0</v>
      </c>
      <c r="R1120" s="31">
        <f t="shared" si="514"/>
        <v>0</v>
      </c>
      <c r="S1120" s="31">
        <f t="shared" si="514"/>
        <v>0</v>
      </c>
      <c r="T1120" s="31">
        <f t="shared" si="514"/>
        <v>0</v>
      </c>
      <c r="U1120" s="31">
        <f t="shared" si="514"/>
        <v>0</v>
      </c>
      <c r="V1120" s="31">
        <f t="shared" si="514"/>
        <v>0</v>
      </c>
      <c r="W1120" s="31">
        <f t="shared" si="514"/>
        <v>0</v>
      </c>
      <c r="X1120" s="31">
        <f t="shared" si="514"/>
        <v>0</v>
      </c>
      <c r="Y1120" s="31">
        <f t="shared" si="514"/>
        <v>0</v>
      </c>
      <c r="Z1120" s="31">
        <f t="shared" si="514"/>
        <v>0</v>
      </c>
      <c r="AA1120" s="31">
        <f t="shared" si="514"/>
        <v>0</v>
      </c>
      <c r="AB1120" s="31">
        <f t="shared" si="514"/>
        <v>0</v>
      </c>
      <c r="AC1120" s="31">
        <f t="shared" si="514"/>
        <v>20342.849999999999</v>
      </c>
      <c r="AD1120" s="31">
        <f t="shared" si="514"/>
        <v>80000</v>
      </c>
      <c r="AE1120" s="31">
        <f t="shared" si="514"/>
        <v>0</v>
      </c>
      <c r="AF1120" s="119" t="s">
        <v>794</v>
      </c>
      <c r="AG1120" s="119" t="s">
        <v>794</v>
      </c>
      <c r="AH1120" s="120" t="s">
        <v>794</v>
      </c>
      <c r="AT1120" s="20" t="e">
        <f t="shared" si="504"/>
        <v>#N/A</v>
      </c>
    </row>
    <row r="1121" spans="1:46" ht="61.5" x14ac:dyDescent="0.85">
      <c r="A1121" s="20">
        <v>1</v>
      </c>
      <c r="B1121" s="66">
        <f>SUBTOTAL(103,$A$929:A1121)</f>
        <v>165</v>
      </c>
      <c r="C1121" s="24" t="s">
        <v>836</v>
      </c>
      <c r="D1121" s="31">
        <f t="shared" ref="D1121" si="515">E1121+F1121+G1121+H1121+I1121+J1121+L1121+N1121+P1121+R1121+T1121+U1121+V1121+W1121+X1121+Y1121+Z1121+AA1121+AB1121+AC1121+AD1121+AE1121</f>
        <v>1456533.11</v>
      </c>
      <c r="E1121" s="31">
        <v>0</v>
      </c>
      <c r="F1121" s="31">
        <v>0</v>
      </c>
      <c r="G1121" s="31">
        <v>0</v>
      </c>
      <c r="H1121" s="31">
        <v>0</v>
      </c>
      <c r="I1121" s="31">
        <v>0</v>
      </c>
      <c r="J1121" s="31">
        <v>0</v>
      </c>
      <c r="K1121" s="33">
        <v>0</v>
      </c>
      <c r="L1121" s="31">
        <v>0</v>
      </c>
      <c r="M1121" s="31">
        <v>280</v>
      </c>
      <c r="N1121" s="31">
        <v>1356190.26</v>
      </c>
      <c r="O1121" s="31">
        <v>0</v>
      </c>
      <c r="P1121" s="31">
        <v>0</v>
      </c>
      <c r="Q1121" s="31">
        <v>0</v>
      </c>
      <c r="R1121" s="31">
        <v>0</v>
      </c>
      <c r="S1121" s="31">
        <v>0</v>
      </c>
      <c r="T1121" s="31">
        <v>0</v>
      </c>
      <c r="U1121" s="31">
        <v>0</v>
      </c>
      <c r="V1121" s="31">
        <v>0</v>
      </c>
      <c r="W1121" s="31">
        <v>0</v>
      </c>
      <c r="X1121" s="31">
        <v>0</v>
      </c>
      <c r="Y1121" s="31">
        <v>0</v>
      </c>
      <c r="Z1121" s="31">
        <v>0</v>
      </c>
      <c r="AA1121" s="31">
        <v>0</v>
      </c>
      <c r="AB1121" s="31">
        <v>0</v>
      </c>
      <c r="AC1121" s="31">
        <f>ROUND(N1121*1.5%,2)</f>
        <v>20342.849999999999</v>
      </c>
      <c r="AD1121" s="31">
        <v>80000</v>
      </c>
      <c r="AE1121" s="31">
        <v>0</v>
      </c>
      <c r="AF1121" s="34">
        <v>2022</v>
      </c>
      <c r="AG1121" s="34">
        <v>2022</v>
      </c>
      <c r="AH1121" s="35">
        <v>2022</v>
      </c>
      <c r="AT1121" s="20" t="e">
        <f t="shared" si="504"/>
        <v>#N/A</v>
      </c>
    </row>
    <row r="1122" spans="1:46" ht="61.5" x14ac:dyDescent="0.85">
      <c r="B1122" s="24" t="s">
        <v>881</v>
      </c>
      <c r="C1122" s="117"/>
      <c r="D1122" s="31">
        <f>D1123+D1124+D1125</f>
        <v>10290828.25</v>
      </c>
      <c r="E1122" s="31">
        <f t="shared" ref="E1122:AE1122" si="516">E1123+E1124+E1125</f>
        <v>0</v>
      </c>
      <c r="F1122" s="31">
        <f t="shared" si="516"/>
        <v>0</v>
      </c>
      <c r="G1122" s="31">
        <f t="shared" si="516"/>
        <v>0</v>
      </c>
      <c r="H1122" s="31">
        <f t="shared" si="516"/>
        <v>0</v>
      </c>
      <c r="I1122" s="31">
        <f t="shared" si="516"/>
        <v>0</v>
      </c>
      <c r="J1122" s="31">
        <f t="shared" si="516"/>
        <v>0</v>
      </c>
      <c r="K1122" s="33">
        <f t="shared" si="516"/>
        <v>0</v>
      </c>
      <c r="L1122" s="31">
        <f t="shared" si="516"/>
        <v>0</v>
      </c>
      <c r="M1122" s="31">
        <f t="shared" si="516"/>
        <v>1825</v>
      </c>
      <c r="N1122" s="31">
        <f t="shared" si="516"/>
        <v>9695397.290000001</v>
      </c>
      <c r="O1122" s="31">
        <f t="shared" si="516"/>
        <v>0</v>
      </c>
      <c r="P1122" s="31">
        <f t="shared" si="516"/>
        <v>0</v>
      </c>
      <c r="Q1122" s="31">
        <f t="shared" si="516"/>
        <v>0</v>
      </c>
      <c r="R1122" s="31">
        <f t="shared" si="516"/>
        <v>0</v>
      </c>
      <c r="S1122" s="31">
        <f t="shared" si="516"/>
        <v>0</v>
      </c>
      <c r="T1122" s="31">
        <f t="shared" si="516"/>
        <v>0</v>
      </c>
      <c r="U1122" s="31">
        <f t="shared" si="516"/>
        <v>0</v>
      </c>
      <c r="V1122" s="31">
        <f t="shared" si="516"/>
        <v>0</v>
      </c>
      <c r="W1122" s="31">
        <f t="shared" si="516"/>
        <v>0</v>
      </c>
      <c r="X1122" s="31">
        <f t="shared" si="516"/>
        <v>0</v>
      </c>
      <c r="Y1122" s="31">
        <f t="shared" si="516"/>
        <v>0</v>
      </c>
      <c r="Z1122" s="31">
        <f t="shared" si="516"/>
        <v>0</v>
      </c>
      <c r="AA1122" s="31">
        <f t="shared" si="516"/>
        <v>0</v>
      </c>
      <c r="AB1122" s="31">
        <f t="shared" si="516"/>
        <v>0</v>
      </c>
      <c r="AC1122" s="31">
        <f t="shared" si="516"/>
        <v>145430.96</v>
      </c>
      <c r="AD1122" s="31">
        <f t="shared" si="516"/>
        <v>450000</v>
      </c>
      <c r="AE1122" s="31">
        <f t="shared" si="516"/>
        <v>0</v>
      </c>
      <c r="AF1122" s="119" t="s">
        <v>794</v>
      </c>
      <c r="AG1122" s="119" t="s">
        <v>794</v>
      </c>
      <c r="AH1122" s="120" t="s">
        <v>794</v>
      </c>
      <c r="AT1122" s="20" t="e">
        <f t="shared" si="504"/>
        <v>#N/A</v>
      </c>
    </row>
    <row r="1123" spans="1:46" ht="61.5" x14ac:dyDescent="0.85">
      <c r="A1123" s="20">
        <v>1</v>
      </c>
      <c r="B1123" s="66">
        <f>SUBTOTAL(103,$A$929:A1123)</f>
        <v>166</v>
      </c>
      <c r="C1123" s="24" t="s">
        <v>86</v>
      </c>
      <c r="D1123" s="31">
        <f t="shared" ref="D1123:D1125" si="517">E1123+F1123+G1123+H1123+I1123+J1123+L1123+N1123+P1123+R1123+T1123+U1123+V1123+W1123+X1123+Y1123+Z1123+AA1123+AB1123+AC1123+AD1123+AE1123</f>
        <v>3665226.5</v>
      </c>
      <c r="E1123" s="31">
        <v>0</v>
      </c>
      <c r="F1123" s="31">
        <v>0</v>
      </c>
      <c r="G1123" s="31">
        <v>0</v>
      </c>
      <c r="H1123" s="31">
        <v>0</v>
      </c>
      <c r="I1123" s="31">
        <v>0</v>
      </c>
      <c r="J1123" s="31">
        <v>0</v>
      </c>
      <c r="K1123" s="33">
        <v>0</v>
      </c>
      <c r="L1123" s="31">
        <v>0</v>
      </c>
      <c r="M1123" s="31">
        <v>650</v>
      </c>
      <c r="N1123" s="31">
        <v>3463277.34</v>
      </c>
      <c r="O1123" s="31">
        <v>0</v>
      </c>
      <c r="P1123" s="31">
        <v>0</v>
      </c>
      <c r="Q1123" s="31">
        <v>0</v>
      </c>
      <c r="R1123" s="31">
        <v>0</v>
      </c>
      <c r="S1123" s="31">
        <v>0</v>
      </c>
      <c r="T1123" s="31">
        <v>0</v>
      </c>
      <c r="U1123" s="31">
        <v>0</v>
      </c>
      <c r="V1123" s="31">
        <v>0</v>
      </c>
      <c r="W1123" s="31">
        <v>0</v>
      </c>
      <c r="X1123" s="31">
        <v>0</v>
      </c>
      <c r="Y1123" s="31">
        <v>0</v>
      </c>
      <c r="Z1123" s="31">
        <v>0</v>
      </c>
      <c r="AA1123" s="31">
        <v>0</v>
      </c>
      <c r="AB1123" s="31">
        <v>0</v>
      </c>
      <c r="AC1123" s="31">
        <f t="shared" ref="AC1123:AC1125" si="518">ROUND(N1123*1.5%,2)</f>
        <v>51949.16</v>
      </c>
      <c r="AD1123" s="31">
        <v>150000</v>
      </c>
      <c r="AE1123" s="31">
        <v>0</v>
      </c>
      <c r="AF1123" s="34">
        <v>2022</v>
      </c>
      <c r="AG1123" s="34">
        <v>2022</v>
      </c>
      <c r="AH1123" s="35">
        <v>2022</v>
      </c>
      <c r="AT1123" s="20" t="e">
        <f t="shared" si="504"/>
        <v>#N/A</v>
      </c>
    </row>
    <row r="1124" spans="1:46" ht="61.5" x14ac:dyDescent="0.85">
      <c r="A1124" s="20">
        <v>1</v>
      </c>
      <c r="B1124" s="66">
        <f>SUBTOTAL(103,$A$929:A1124)</f>
        <v>167</v>
      </c>
      <c r="C1124" s="24" t="s">
        <v>87</v>
      </c>
      <c r="D1124" s="31">
        <f t="shared" si="517"/>
        <v>3185927.6500000004</v>
      </c>
      <c r="E1124" s="31">
        <v>0</v>
      </c>
      <c r="F1124" s="31">
        <v>0</v>
      </c>
      <c r="G1124" s="31">
        <v>0</v>
      </c>
      <c r="H1124" s="31">
        <v>0</v>
      </c>
      <c r="I1124" s="31">
        <v>0</v>
      </c>
      <c r="J1124" s="31">
        <v>0</v>
      </c>
      <c r="K1124" s="33">
        <v>0</v>
      </c>
      <c r="L1124" s="31">
        <v>0</v>
      </c>
      <c r="M1124" s="31">
        <v>565</v>
      </c>
      <c r="N1124" s="31">
        <v>2991061.72</v>
      </c>
      <c r="O1124" s="31">
        <v>0</v>
      </c>
      <c r="P1124" s="31">
        <v>0</v>
      </c>
      <c r="Q1124" s="31">
        <v>0</v>
      </c>
      <c r="R1124" s="31">
        <v>0</v>
      </c>
      <c r="S1124" s="31">
        <v>0</v>
      </c>
      <c r="T1124" s="31">
        <v>0</v>
      </c>
      <c r="U1124" s="31">
        <v>0</v>
      </c>
      <c r="V1124" s="31">
        <v>0</v>
      </c>
      <c r="W1124" s="31">
        <v>0</v>
      </c>
      <c r="X1124" s="31">
        <v>0</v>
      </c>
      <c r="Y1124" s="31">
        <v>0</v>
      </c>
      <c r="Z1124" s="31">
        <v>0</v>
      </c>
      <c r="AA1124" s="31">
        <v>0</v>
      </c>
      <c r="AB1124" s="31">
        <v>0</v>
      </c>
      <c r="AC1124" s="31">
        <f t="shared" si="518"/>
        <v>44865.93</v>
      </c>
      <c r="AD1124" s="31">
        <v>150000</v>
      </c>
      <c r="AE1124" s="31">
        <v>0</v>
      </c>
      <c r="AF1124" s="34">
        <v>2022</v>
      </c>
      <c r="AG1124" s="34">
        <v>2022</v>
      </c>
      <c r="AH1124" s="35">
        <v>2022</v>
      </c>
      <c r="AT1124" s="20" t="e">
        <f t="shared" si="504"/>
        <v>#N/A</v>
      </c>
    </row>
    <row r="1125" spans="1:46" ht="61.5" x14ac:dyDescent="0.85">
      <c r="A1125" s="20">
        <v>1</v>
      </c>
      <c r="B1125" s="66">
        <f>SUBTOTAL(103,$A$929:A1125)</f>
        <v>168</v>
      </c>
      <c r="C1125" s="24" t="s">
        <v>85</v>
      </c>
      <c r="D1125" s="31">
        <f t="shared" si="517"/>
        <v>3439674.1</v>
      </c>
      <c r="E1125" s="31">
        <v>0</v>
      </c>
      <c r="F1125" s="31">
        <v>0</v>
      </c>
      <c r="G1125" s="31">
        <v>0</v>
      </c>
      <c r="H1125" s="31">
        <v>0</v>
      </c>
      <c r="I1125" s="31">
        <v>0</v>
      </c>
      <c r="J1125" s="31">
        <v>0</v>
      </c>
      <c r="K1125" s="33">
        <v>0</v>
      </c>
      <c r="L1125" s="31">
        <v>0</v>
      </c>
      <c r="M1125" s="31">
        <v>610</v>
      </c>
      <c r="N1125" s="31">
        <v>3241058.23</v>
      </c>
      <c r="O1125" s="31">
        <v>0</v>
      </c>
      <c r="P1125" s="31">
        <v>0</v>
      </c>
      <c r="Q1125" s="31">
        <v>0</v>
      </c>
      <c r="R1125" s="31">
        <v>0</v>
      </c>
      <c r="S1125" s="31">
        <v>0</v>
      </c>
      <c r="T1125" s="31">
        <v>0</v>
      </c>
      <c r="U1125" s="31">
        <v>0</v>
      </c>
      <c r="V1125" s="31">
        <v>0</v>
      </c>
      <c r="W1125" s="31">
        <v>0</v>
      </c>
      <c r="X1125" s="31">
        <v>0</v>
      </c>
      <c r="Y1125" s="31">
        <v>0</v>
      </c>
      <c r="Z1125" s="31">
        <v>0</v>
      </c>
      <c r="AA1125" s="31">
        <v>0</v>
      </c>
      <c r="AB1125" s="31">
        <v>0</v>
      </c>
      <c r="AC1125" s="31">
        <f t="shared" si="518"/>
        <v>48615.87</v>
      </c>
      <c r="AD1125" s="31">
        <v>150000</v>
      </c>
      <c r="AE1125" s="31">
        <v>0</v>
      </c>
      <c r="AF1125" s="34">
        <v>2022</v>
      </c>
      <c r="AG1125" s="34">
        <v>2022</v>
      </c>
      <c r="AH1125" s="35">
        <v>2022</v>
      </c>
      <c r="AT1125" s="20" t="e">
        <f t="shared" si="504"/>
        <v>#N/A</v>
      </c>
    </row>
    <row r="1126" spans="1:46" ht="61.5" x14ac:dyDescent="0.85">
      <c r="B1126" s="24" t="s">
        <v>882</v>
      </c>
      <c r="C1126" s="24"/>
      <c r="D1126" s="31">
        <f>D1127</f>
        <v>3013803.8600000003</v>
      </c>
      <c r="E1126" s="31">
        <f t="shared" ref="E1126:AE1126" si="519">E1127</f>
        <v>0</v>
      </c>
      <c r="F1126" s="31">
        <f t="shared" si="519"/>
        <v>0</v>
      </c>
      <c r="G1126" s="31">
        <f t="shared" si="519"/>
        <v>0</v>
      </c>
      <c r="H1126" s="31">
        <f t="shared" si="519"/>
        <v>0</v>
      </c>
      <c r="I1126" s="31">
        <f t="shared" si="519"/>
        <v>0</v>
      </c>
      <c r="J1126" s="31">
        <f t="shared" si="519"/>
        <v>0</v>
      </c>
      <c r="K1126" s="33">
        <f t="shared" si="519"/>
        <v>0</v>
      </c>
      <c r="L1126" s="31">
        <f t="shared" si="519"/>
        <v>0</v>
      </c>
      <c r="M1126" s="31">
        <f t="shared" si="519"/>
        <v>586</v>
      </c>
      <c r="N1126" s="31">
        <f t="shared" si="519"/>
        <v>2821481.64</v>
      </c>
      <c r="O1126" s="31">
        <f t="shared" si="519"/>
        <v>0</v>
      </c>
      <c r="P1126" s="31">
        <f t="shared" si="519"/>
        <v>0</v>
      </c>
      <c r="Q1126" s="31">
        <f t="shared" si="519"/>
        <v>0</v>
      </c>
      <c r="R1126" s="31">
        <f t="shared" si="519"/>
        <v>0</v>
      </c>
      <c r="S1126" s="31">
        <f t="shared" si="519"/>
        <v>0</v>
      </c>
      <c r="T1126" s="31">
        <f t="shared" si="519"/>
        <v>0</v>
      </c>
      <c r="U1126" s="31">
        <f t="shared" si="519"/>
        <v>0</v>
      </c>
      <c r="V1126" s="31">
        <f t="shared" si="519"/>
        <v>0</v>
      </c>
      <c r="W1126" s="31">
        <f t="shared" si="519"/>
        <v>0</v>
      </c>
      <c r="X1126" s="31">
        <f t="shared" si="519"/>
        <v>0</v>
      </c>
      <c r="Y1126" s="31">
        <f t="shared" si="519"/>
        <v>0</v>
      </c>
      <c r="Z1126" s="31">
        <f t="shared" si="519"/>
        <v>0</v>
      </c>
      <c r="AA1126" s="31">
        <f t="shared" si="519"/>
        <v>0</v>
      </c>
      <c r="AB1126" s="31">
        <f t="shared" si="519"/>
        <v>0</v>
      </c>
      <c r="AC1126" s="31">
        <f t="shared" si="519"/>
        <v>42322.22</v>
      </c>
      <c r="AD1126" s="31">
        <f t="shared" si="519"/>
        <v>150000</v>
      </c>
      <c r="AE1126" s="31">
        <f t="shared" si="519"/>
        <v>0</v>
      </c>
      <c r="AF1126" s="119" t="s">
        <v>794</v>
      </c>
      <c r="AG1126" s="119" t="s">
        <v>794</v>
      </c>
      <c r="AH1126" s="120" t="s">
        <v>794</v>
      </c>
      <c r="AT1126" s="20" t="e">
        <f t="shared" si="504"/>
        <v>#N/A</v>
      </c>
    </row>
    <row r="1127" spans="1:46" ht="61.5" x14ac:dyDescent="0.85">
      <c r="A1127" s="20">
        <v>1</v>
      </c>
      <c r="B1127" s="66">
        <f>SUBTOTAL(103,$A$929:A1127)</f>
        <v>169</v>
      </c>
      <c r="C1127" s="24" t="s">
        <v>89</v>
      </c>
      <c r="D1127" s="31">
        <f t="shared" ref="D1127" si="520">E1127+F1127+G1127+H1127+I1127+J1127+L1127+N1127+P1127+R1127+T1127+U1127+V1127+W1127+X1127+Y1127+Z1127+AA1127+AB1127+AC1127+AD1127+AE1127</f>
        <v>3013803.8600000003</v>
      </c>
      <c r="E1127" s="31">
        <v>0</v>
      </c>
      <c r="F1127" s="31">
        <v>0</v>
      </c>
      <c r="G1127" s="31">
        <v>0</v>
      </c>
      <c r="H1127" s="31">
        <v>0</v>
      </c>
      <c r="I1127" s="31">
        <v>0</v>
      </c>
      <c r="J1127" s="31">
        <v>0</v>
      </c>
      <c r="K1127" s="33">
        <v>0</v>
      </c>
      <c r="L1127" s="31">
        <v>0</v>
      </c>
      <c r="M1127" s="31">
        <v>586</v>
      </c>
      <c r="N1127" s="31">
        <v>2821481.64</v>
      </c>
      <c r="O1127" s="31">
        <v>0</v>
      </c>
      <c r="P1127" s="31">
        <v>0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31">
        <v>0</v>
      </c>
      <c r="W1127" s="31">
        <v>0</v>
      </c>
      <c r="X1127" s="31">
        <v>0</v>
      </c>
      <c r="Y1127" s="31">
        <v>0</v>
      </c>
      <c r="Z1127" s="31">
        <v>0</v>
      </c>
      <c r="AA1127" s="31">
        <v>0</v>
      </c>
      <c r="AB1127" s="31">
        <v>0</v>
      </c>
      <c r="AC1127" s="31">
        <f>ROUND(N1127*1.5%,2)</f>
        <v>42322.22</v>
      </c>
      <c r="AD1127" s="31">
        <v>150000</v>
      </c>
      <c r="AE1127" s="31">
        <v>0</v>
      </c>
      <c r="AF1127" s="34">
        <v>2022</v>
      </c>
      <c r="AG1127" s="34">
        <v>2022</v>
      </c>
      <c r="AH1127" s="35">
        <v>2022</v>
      </c>
      <c r="AT1127" s="20" t="e">
        <f t="shared" si="504"/>
        <v>#N/A</v>
      </c>
    </row>
    <row r="1128" spans="1:46" ht="61.5" x14ac:dyDescent="0.85">
      <c r="B1128" s="24" t="s">
        <v>932</v>
      </c>
      <c r="C1128" s="24"/>
      <c r="D1128" s="31">
        <f>D1129</f>
        <v>2036502</v>
      </c>
      <c r="E1128" s="31">
        <f t="shared" ref="E1128:AE1128" si="521">E1129</f>
        <v>0</v>
      </c>
      <c r="F1128" s="31">
        <f t="shared" si="521"/>
        <v>0</v>
      </c>
      <c r="G1128" s="31">
        <f t="shared" si="521"/>
        <v>0</v>
      </c>
      <c r="H1128" s="31">
        <f t="shared" si="521"/>
        <v>0</v>
      </c>
      <c r="I1128" s="31">
        <f t="shared" si="521"/>
        <v>0</v>
      </c>
      <c r="J1128" s="31">
        <f t="shared" si="521"/>
        <v>0</v>
      </c>
      <c r="K1128" s="33">
        <f t="shared" si="521"/>
        <v>0</v>
      </c>
      <c r="L1128" s="31">
        <f t="shared" si="521"/>
        <v>0</v>
      </c>
      <c r="M1128" s="31">
        <f t="shared" si="521"/>
        <v>390</v>
      </c>
      <c r="N1128" s="31">
        <f t="shared" si="521"/>
        <v>1888179.31</v>
      </c>
      <c r="O1128" s="31">
        <f t="shared" si="521"/>
        <v>0</v>
      </c>
      <c r="P1128" s="31">
        <f t="shared" si="521"/>
        <v>0</v>
      </c>
      <c r="Q1128" s="31">
        <f t="shared" si="521"/>
        <v>0</v>
      </c>
      <c r="R1128" s="31">
        <f t="shared" si="521"/>
        <v>0</v>
      </c>
      <c r="S1128" s="31">
        <f t="shared" si="521"/>
        <v>0</v>
      </c>
      <c r="T1128" s="31">
        <f t="shared" si="521"/>
        <v>0</v>
      </c>
      <c r="U1128" s="31">
        <f t="shared" si="521"/>
        <v>0</v>
      </c>
      <c r="V1128" s="31">
        <f t="shared" si="521"/>
        <v>0</v>
      </c>
      <c r="W1128" s="31">
        <f t="shared" si="521"/>
        <v>0</v>
      </c>
      <c r="X1128" s="31">
        <f t="shared" si="521"/>
        <v>0</v>
      </c>
      <c r="Y1128" s="31">
        <f t="shared" si="521"/>
        <v>0</v>
      </c>
      <c r="Z1128" s="31">
        <f t="shared" si="521"/>
        <v>0</v>
      </c>
      <c r="AA1128" s="31">
        <f t="shared" si="521"/>
        <v>0</v>
      </c>
      <c r="AB1128" s="31">
        <f t="shared" si="521"/>
        <v>0</v>
      </c>
      <c r="AC1128" s="31">
        <f t="shared" si="521"/>
        <v>28322.69</v>
      </c>
      <c r="AD1128" s="31">
        <f t="shared" si="521"/>
        <v>120000</v>
      </c>
      <c r="AE1128" s="31">
        <f t="shared" si="521"/>
        <v>0</v>
      </c>
      <c r="AF1128" s="119" t="s">
        <v>794</v>
      </c>
      <c r="AG1128" s="119" t="s">
        <v>794</v>
      </c>
      <c r="AH1128" s="120" t="s">
        <v>794</v>
      </c>
      <c r="AT1128" s="20" t="e">
        <f t="shared" si="504"/>
        <v>#N/A</v>
      </c>
    </row>
    <row r="1129" spans="1:46" ht="61.5" x14ac:dyDescent="0.85">
      <c r="A1129" s="20">
        <v>1</v>
      </c>
      <c r="B1129" s="66">
        <f>SUBTOTAL(103,$A$929:A1129)</f>
        <v>170</v>
      </c>
      <c r="C1129" s="24" t="s">
        <v>88</v>
      </c>
      <c r="D1129" s="31">
        <f t="shared" ref="D1129" si="522">E1129+F1129+G1129+H1129+I1129+J1129+L1129+N1129+P1129+R1129+T1129+U1129+V1129+W1129+X1129+Y1129+Z1129+AA1129+AB1129+AC1129+AD1129+AE1129</f>
        <v>2036502</v>
      </c>
      <c r="E1129" s="31">
        <v>0</v>
      </c>
      <c r="F1129" s="31">
        <v>0</v>
      </c>
      <c r="G1129" s="31">
        <v>0</v>
      </c>
      <c r="H1129" s="31">
        <v>0</v>
      </c>
      <c r="I1129" s="31">
        <v>0</v>
      </c>
      <c r="J1129" s="31">
        <v>0</v>
      </c>
      <c r="K1129" s="33">
        <v>0</v>
      </c>
      <c r="L1129" s="31">
        <v>0</v>
      </c>
      <c r="M1129" s="31">
        <v>390</v>
      </c>
      <c r="N1129" s="31">
        <v>1888179.31</v>
      </c>
      <c r="O1129" s="31">
        <v>0</v>
      </c>
      <c r="P1129" s="31">
        <v>0</v>
      </c>
      <c r="Q1129" s="31">
        <v>0</v>
      </c>
      <c r="R1129" s="31">
        <v>0</v>
      </c>
      <c r="S1129" s="31">
        <v>0</v>
      </c>
      <c r="T1129" s="31">
        <v>0</v>
      </c>
      <c r="U1129" s="31">
        <v>0</v>
      </c>
      <c r="V1129" s="31">
        <v>0</v>
      </c>
      <c r="W1129" s="31">
        <v>0</v>
      </c>
      <c r="X1129" s="31">
        <v>0</v>
      </c>
      <c r="Y1129" s="31">
        <v>0</v>
      </c>
      <c r="Z1129" s="31">
        <v>0</v>
      </c>
      <c r="AA1129" s="31">
        <v>0</v>
      </c>
      <c r="AB1129" s="31">
        <v>0</v>
      </c>
      <c r="AC1129" s="31">
        <f>ROUND(N1129*1.5%,2)</f>
        <v>28322.69</v>
      </c>
      <c r="AD1129" s="31">
        <v>120000</v>
      </c>
      <c r="AE1129" s="31">
        <v>0</v>
      </c>
      <c r="AF1129" s="34">
        <v>2022</v>
      </c>
      <c r="AG1129" s="34">
        <v>2022</v>
      </c>
      <c r="AH1129" s="35">
        <v>2022</v>
      </c>
      <c r="AT1129" s="20" t="e">
        <f t="shared" si="504"/>
        <v>#N/A</v>
      </c>
    </row>
    <row r="1130" spans="1:46" ht="61.5" x14ac:dyDescent="0.85">
      <c r="B1130" s="24" t="s">
        <v>883</v>
      </c>
      <c r="C1130" s="117"/>
      <c r="D1130" s="31">
        <f>D1131</f>
        <v>3592598.4</v>
      </c>
      <c r="E1130" s="31">
        <f t="shared" ref="E1130:AE1130" si="523">E1131</f>
        <v>0</v>
      </c>
      <c r="F1130" s="31">
        <f t="shared" si="523"/>
        <v>0</v>
      </c>
      <c r="G1130" s="31">
        <f t="shared" si="523"/>
        <v>0</v>
      </c>
      <c r="H1130" s="31">
        <f t="shared" si="523"/>
        <v>0</v>
      </c>
      <c r="I1130" s="31">
        <f t="shared" si="523"/>
        <v>0</v>
      </c>
      <c r="J1130" s="31">
        <f t="shared" si="523"/>
        <v>0</v>
      </c>
      <c r="K1130" s="33">
        <f t="shared" si="523"/>
        <v>0</v>
      </c>
      <c r="L1130" s="31">
        <f t="shared" si="523"/>
        <v>0</v>
      </c>
      <c r="M1130" s="31">
        <f t="shared" si="523"/>
        <v>688</v>
      </c>
      <c r="N1130" s="31">
        <f t="shared" si="523"/>
        <v>3391722.56</v>
      </c>
      <c r="O1130" s="31">
        <f t="shared" si="523"/>
        <v>0</v>
      </c>
      <c r="P1130" s="31">
        <f t="shared" si="523"/>
        <v>0</v>
      </c>
      <c r="Q1130" s="31">
        <f t="shared" si="523"/>
        <v>0</v>
      </c>
      <c r="R1130" s="31">
        <f t="shared" si="523"/>
        <v>0</v>
      </c>
      <c r="S1130" s="31">
        <f t="shared" si="523"/>
        <v>0</v>
      </c>
      <c r="T1130" s="31">
        <f t="shared" si="523"/>
        <v>0</v>
      </c>
      <c r="U1130" s="31">
        <f t="shared" si="523"/>
        <v>0</v>
      </c>
      <c r="V1130" s="31">
        <f t="shared" si="523"/>
        <v>0</v>
      </c>
      <c r="W1130" s="31">
        <f t="shared" si="523"/>
        <v>0</v>
      </c>
      <c r="X1130" s="31">
        <f t="shared" si="523"/>
        <v>0</v>
      </c>
      <c r="Y1130" s="31">
        <f t="shared" si="523"/>
        <v>0</v>
      </c>
      <c r="Z1130" s="31">
        <f t="shared" si="523"/>
        <v>0</v>
      </c>
      <c r="AA1130" s="31">
        <f t="shared" si="523"/>
        <v>0</v>
      </c>
      <c r="AB1130" s="31">
        <f t="shared" si="523"/>
        <v>0</v>
      </c>
      <c r="AC1130" s="31">
        <f t="shared" si="523"/>
        <v>50875.839999999997</v>
      </c>
      <c r="AD1130" s="31">
        <f t="shared" si="523"/>
        <v>150000</v>
      </c>
      <c r="AE1130" s="31">
        <f t="shared" si="523"/>
        <v>0</v>
      </c>
      <c r="AF1130" s="119" t="s">
        <v>794</v>
      </c>
      <c r="AG1130" s="119" t="s">
        <v>794</v>
      </c>
      <c r="AH1130" s="120" t="s">
        <v>794</v>
      </c>
      <c r="AT1130" s="20" t="e">
        <f t="shared" si="504"/>
        <v>#N/A</v>
      </c>
    </row>
    <row r="1131" spans="1:46" ht="61.5" x14ac:dyDescent="0.85">
      <c r="A1131" s="20">
        <v>1</v>
      </c>
      <c r="B1131" s="66">
        <f>SUBTOTAL(103,$A$929:A1131)</f>
        <v>171</v>
      </c>
      <c r="C1131" s="24" t="s">
        <v>109</v>
      </c>
      <c r="D1131" s="31">
        <f t="shared" ref="D1131" si="524">E1131+F1131+G1131+H1131+I1131+J1131+L1131+N1131+P1131+R1131+T1131+U1131+V1131+W1131+X1131+Y1131+Z1131+AA1131+AB1131+AC1131+AD1131+AE1131</f>
        <v>3592598.4</v>
      </c>
      <c r="E1131" s="31">
        <v>0</v>
      </c>
      <c r="F1131" s="31">
        <v>0</v>
      </c>
      <c r="G1131" s="31">
        <v>0</v>
      </c>
      <c r="H1131" s="31">
        <v>0</v>
      </c>
      <c r="I1131" s="31">
        <v>0</v>
      </c>
      <c r="J1131" s="31">
        <v>0</v>
      </c>
      <c r="K1131" s="33">
        <v>0</v>
      </c>
      <c r="L1131" s="31">
        <v>0</v>
      </c>
      <c r="M1131" s="31">
        <v>688</v>
      </c>
      <c r="N1131" s="31">
        <v>3391722.56</v>
      </c>
      <c r="O1131" s="31">
        <v>0</v>
      </c>
      <c r="P1131" s="31">
        <v>0</v>
      </c>
      <c r="Q1131" s="31">
        <v>0</v>
      </c>
      <c r="R1131" s="31">
        <v>0</v>
      </c>
      <c r="S1131" s="31">
        <v>0</v>
      </c>
      <c r="T1131" s="31">
        <v>0</v>
      </c>
      <c r="U1131" s="31">
        <v>0</v>
      </c>
      <c r="V1131" s="31">
        <v>0</v>
      </c>
      <c r="W1131" s="31">
        <v>0</v>
      </c>
      <c r="X1131" s="31">
        <v>0</v>
      </c>
      <c r="Y1131" s="31">
        <v>0</v>
      </c>
      <c r="Z1131" s="31">
        <v>0</v>
      </c>
      <c r="AA1131" s="31">
        <v>0</v>
      </c>
      <c r="AB1131" s="31">
        <v>0</v>
      </c>
      <c r="AC1131" s="31">
        <f>ROUND(N1131*1.5%,2)</f>
        <v>50875.839999999997</v>
      </c>
      <c r="AD1131" s="31">
        <v>150000</v>
      </c>
      <c r="AE1131" s="31">
        <v>0</v>
      </c>
      <c r="AF1131" s="34">
        <v>2022</v>
      </c>
      <c r="AG1131" s="34">
        <v>2022</v>
      </c>
      <c r="AH1131" s="35">
        <v>2022</v>
      </c>
      <c r="AT1131" s="20" t="e">
        <f t="shared" si="504"/>
        <v>#N/A</v>
      </c>
    </row>
    <row r="1132" spans="1:46" ht="61.5" x14ac:dyDescent="0.85">
      <c r="B1132" s="24" t="s">
        <v>918</v>
      </c>
      <c r="C1132" s="24"/>
      <c r="D1132" s="31">
        <f>D1133</f>
        <v>4454195.3999999994</v>
      </c>
      <c r="E1132" s="31">
        <f t="shared" ref="E1132:AE1132" si="525">E1133</f>
        <v>0</v>
      </c>
      <c r="F1132" s="31">
        <f t="shared" si="525"/>
        <v>0</v>
      </c>
      <c r="G1132" s="31">
        <f t="shared" si="525"/>
        <v>0</v>
      </c>
      <c r="H1132" s="31">
        <f t="shared" si="525"/>
        <v>0</v>
      </c>
      <c r="I1132" s="31">
        <f t="shared" si="525"/>
        <v>0</v>
      </c>
      <c r="J1132" s="31">
        <f t="shared" si="525"/>
        <v>0</v>
      </c>
      <c r="K1132" s="33">
        <f t="shared" si="525"/>
        <v>0</v>
      </c>
      <c r="L1132" s="31">
        <f t="shared" si="525"/>
        <v>0</v>
      </c>
      <c r="M1132" s="31">
        <f t="shared" si="525"/>
        <v>853</v>
      </c>
      <c r="N1132" s="31">
        <f t="shared" si="525"/>
        <v>4240586.5999999996</v>
      </c>
      <c r="O1132" s="31">
        <f t="shared" si="525"/>
        <v>0</v>
      </c>
      <c r="P1132" s="31">
        <f t="shared" si="525"/>
        <v>0</v>
      </c>
      <c r="Q1132" s="31">
        <f t="shared" si="525"/>
        <v>0</v>
      </c>
      <c r="R1132" s="31">
        <f t="shared" si="525"/>
        <v>0</v>
      </c>
      <c r="S1132" s="31">
        <f t="shared" si="525"/>
        <v>0</v>
      </c>
      <c r="T1132" s="31">
        <f t="shared" si="525"/>
        <v>0</v>
      </c>
      <c r="U1132" s="31">
        <f t="shared" si="525"/>
        <v>0</v>
      </c>
      <c r="V1132" s="31">
        <f t="shared" si="525"/>
        <v>0</v>
      </c>
      <c r="W1132" s="31">
        <f t="shared" si="525"/>
        <v>0</v>
      </c>
      <c r="X1132" s="31">
        <f t="shared" si="525"/>
        <v>0</v>
      </c>
      <c r="Y1132" s="31">
        <f t="shared" si="525"/>
        <v>0</v>
      </c>
      <c r="Z1132" s="31">
        <f t="shared" si="525"/>
        <v>0</v>
      </c>
      <c r="AA1132" s="31">
        <f t="shared" si="525"/>
        <v>0</v>
      </c>
      <c r="AB1132" s="31">
        <f t="shared" si="525"/>
        <v>0</v>
      </c>
      <c r="AC1132" s="31">
        <f t="shared" si="525"/>
        <v>63608.800000000003</v>
      </c>
      <c r="AD1132" s="31">
        <f t="shared" si="525"/>
        <v>150000</v>
      </c>
      <c r="AE1132" s="31">
        <f t="shared" si="525"/>
        <v>0</v>
      </c>
      <c r="AF1132" s="119" t="s">
        <v>794</v>
      </c>
      <c r="AG1132" s="119" t="s">
        <v>794</v>
      </c>
      <c r="AH1132" s="120" t="s">
        <v>794</v>
      </c>
      <c r="AT1132" s="20" t="e">
        <f t="shared" si="504"/>
        <v>#N/A</v>
      </c>
    </row>
    <row r="1133" spans="1:46" ht="61.5" x14ac:dyDescent="0.85">
      <c r="A1133" s="20">
        <v>1</v>
      </c>
      <c r="B1133" s="66">
        <f>SUBTOTAL(103,$A$929:A1133)</f>
        <v>172</v>
      </c>
      <c r="C1133" s="24" t="s">
        <v>111</v>
      </c>
      <c r="D1133" s="31">
        <f t="shared" ref="D1133" si="526">E1133+F1133+G1133+H1133+I1133+J1133+L1133+N1133+P1133+R1133+T1133+U1133+V1133+W1133+X1133+Y1133+Z1133+AA1133+AB1133+AC1133+AD1133+AE1133</f>
        <v>4454195.3999999994</v>
      </c>
      <c r="E1133" s="31">
        <v>0</v>
      </c>
      <c r="F1133" s="31">
        <v>0</v>
      </c>
      <c r="G1133" s="31">
        <v>0</v>
      </c>
      <c r="H1133" s="31">
        <v>0</v>
      </c>
      <c r="I1133" s="31">
        <v>0</v>
      </c>
      <c r="J1133" s="31">
        <v>0</v>
      </c>
      <c r="K1133" s="33">
        <v>0</v>
      </c>
      <c r="L1133" s="31">
        <v>0</v>
      </c>
      <c r="M1133" s="31">
        <v>853</v>
      </c>
      <c r="N1133" s="31">
        <v>4240586.5999999996</v>
      </c>
      <c r="O1133" s="31">
        <v>0</v>
      </c>
      <c r="P1133" s="31">
        <v>0</v>
      </c>
      <c r="Q1133" s="31">
        <v>0</v>
      </c>
      <c r="R1133" s="31">
        <v>0</v>
      </c>
      <c r="S1133" s="31">
        <v>0</v>
      </c>
      <c r="T1133" s="31">
        <v>0</v>
      </c>
      <c r="U1133" s="31">
        <v>0</v>
      </c>
      <c r="V1133" s="31">
        <v>0</v>
      </c>
      <c r="W1133" s="31">
        <v>0</v>
      </c>
      <c r="X1133" s="31">
        <v>0</v>
      </c>
      <c r="Y1133" s="31">
        <v>0</v>
      </c>
      <c r="Z1133" s="31">
        <v>0</v>
      </c>
      <c r="AA1133" s="31">
        <v>0</v>
      </c>
      <c r="AB1133" s="31">
        <v>0</v>
      </c>
      <c r="AC1133" s="31">
        <f>ROUND(N1133*1.5%,2)</f>
        <v>63608.800000000003</v>
      </c>
      <c r="AD1133" s="31">
        <v>150000</v>
      </c>
      <c r="AE1133" s="31">
        <v>0</v>
      </c>
      <c r="AF1133" s="34">
        <v>2022</v>
      </c>
      <c r="AG1133" s="34">
        <v>2022</v>
      </c>
      <c r="AH1133" s="35">
        <v>2022</v>
      </c>
      <c r="AT1133" s="20" t="e">
        <f t="shared" si="504"/>
        <v>#N/A</v>
      </c>
    </row>
    <row r="1134" spans="1:46" ht="61.5" x14ac:dyDescent="0.85">
      <c r="B1134" s="24" t="s">
        <v>933</v>
      </c>
      <c r="C1134" s="117"/>
      <c r="D1134" s="31">
        <f>D1135</f>
        <v>4839701.7600000007</v>
      </c>
      <c r="E1134" s="31">
        <f t="shared" ref="E1134:AE1134" si="527">E1135</f>
        <v>0</v>
      </c>
      <c r="F1134" s="31">
        <f t="shared" si="527"/>
        <v>0</v>
      </c>
      <c r="G1134" s="31">
        <f t="shared" si="527"/>
        <v>0</v>
      </c>
      <c r="H1134" s="31">
        <f t="shared" si="527"/>
        <v>0</v>
      </c>
      <c r="I1134" s="31">
        <f t="shared" si="527"/>
        <v>0</v>
      </c>
      <c r="J1134" s="31">
        <f t="shared" si="527"/>
        <v>0</v>
      </c>
      <c r="K1134" s="33">
        <f t="shared" si="527"/>
        <v>0</v>
      </c>
      <c r="L1134" s="31">
        <f t="shared" si="527"/>
        <v>0</v>
      </c>
      <c r="M1134" s="31">
        <f t="shared" si="527"/>
        <v>926.83</v>
      </c>
      <c r="N1134" s="31">
        <f t="shared" si="527"/>
        <v>4620395.82</v>
      </c>
      <c r="O1134" s="31">
        <f t="shared" si="527"/>
        <v>0</v>
      </c>
      <c r="P1134" s="31">
        <f t="shared" si="527"/>
        <v>0</v>
      </c>
      <c r="Q1134" s="31">
        <f t="shared" si="527"/>
        <v>0</v>
      </c>
      <c r="R1134" s="31">
        <f t="shared" si="527"/>
        <v>0</v>
      </c>
      <c r="S1134" s="31">
        <f t="shared" si="527"/>
        <v>0</v>
      </c>
      <c r="T1134" s="31">
        <f t="shared" si="527"/>
        <v>0</v>
      </c>
      <c r="U1134" s="31">
        <f t="shared" si="527"/>
        <v>0</v>
      </c>
      <c r="V1134" s="31">
        <f t="shared" si="527"/>
        <v>0</v>
      </c>
      <c r="W1134" s="31">
        <f t="shared" si="527"/>
        <v>0</v>
      </c>
      <c r="X1134" s="31">
        <f t="shared" si="527"/>
        <v>0</v>
      </c>
      <c r="Y1134" s="31">
        <f t="shared" si="527"/>
        <v>0</v>
      </c>
      <c r="Z1134" s="31">
        <f t="shared" si="527"/>
        <v>0</v>
      </c>
      <c r="AA1134" s="31">
        <f t="shared" si="527"/>
        <v>0</v>
      </c>
      <c r="AB1134" s="31">
        <f t="shared" si="527"/>
        <v>0</v>
      </c>
      <c r="AC1134" s="31">
        <f t="shared" si="527"/>
        <v>69305.94</v>
      </c>
      <c r="AD1134" s="31">
        <f t="shared" si="527"/>
        <v>150000</v>
      </c>
      <c r="AE1134" s="31">
        <f t="shared" si="527"/>
        <v>0</v>
      </c>
      <c r="AF1134" s="119" t="s">
        <v>794</v>
      </c>
      <c r="AG1134" s="119" t="s">
        <v>794</v>
      </c>
      <c r="AH1134" s="120" t="s">
        <v>794</v>
      </c>
      <c r="AT1134" s="20" t="e">
        <f t="shared" si="504"/>
        <v>#N/A</v>
      </c>
    </row>
    <row r="1135" spans="1:46" ht="61.5" x14ac:dyDescent="0.85">
      <c r="A1135" s="20">
        <v>1</v>
      </c>
      <c r="B1135" s="66">
        <f>SUBTOTAL(103,$A$929:A1135)</f>
        <v>173</v>
      </c>
      <c r="C1135" s="24" t="s">
        <v>215</v>
      </c>
      <c r="D1135" s="31">
        <f t="shared" ref="D1135" si="528">E1135+F1135+G1135+H1135+I1135+J1135+L1135+N1135+P1135+R1135+T1135+U1135+V1135+W1135+X1135+Y1135+Z1135+AA1135+AB1135+AC1135+AD1135+AE1135</f>
        <v>4839701.7600000007</v>
      </c>
      <c r="E1135" s="31">
        <v>0</v>
      </c>
      <c r="F1135" s="31">
        <v>0</v>
      </c>
      <c r="G1135" s="31">
        <v>0</v>
      </c>
      <c r="H1135" s="31">
        <v>0</v>
      </c>
      <c r="I1135" s="31">
        <v>0</v>
      </c>
      <c r="J1135" s="31">
        <v>0</v>
      </c>
      <c r="K1135" s="33">
        <v>0</v>
      </c>
      <c r="L1135" s="31">
        <v>0</v>
      </c>
      <c r="M1135" s="31">
        <v>926.83</v>
      </c>
      <c r="N1135" s="31">
        <v>4620395.82</v>
      </c>
      <c r="O1135" s="31">
        <v>0</v>
      </c>
      <c r="P1135" s="31">
        <v>0</v>
      </c>
      <c r="Q1135" s="31">
        <v>0</v>
      </c>
      <c r="R1135" s="31">
        <v>0</v>
      </c>
      <c r="S1135" s="31">
        <v>0</v>
      </c>
      <c r="T1135" s="31">
        <v>0</v>
      </c>
      <c r="U1135" s="31">
        <v>0</v>
      </c>
      <c r="V1135" s="31">
        <v>0</v>
      </c>
      <c r="W1135" s="31">
        <v>0</v>
      </c>
      <c r="X1135" s="31">
        <v>0</v>
      </c>
      <c r="Y1135" s="31">
        <v>0</v>
      </c>
      <c r="Z1135" s="31">
        <v>0</v>
      </c>
      <c r="AA1135" s="31">
        <v>0</v>
      </c>
      <c r="AB1135" s="31">
        <v>0</v>
      </c>
      <c r="AC1135" s="31">
        <f>ROUND(N1135*1.5%,2)</f>
        <v>69305.94</v>
      </c>
      <c r="AD1135" s="31">
        <v>150000</v>
      </c>
      <c r="AE1135" s="31">
        <v>0</v>
      </c>
      <c r="AF1135" s="34">
        <v>2022</v>
      </c>
      <c r="AG1135" s="34">
        <v>2022</v>
      </c>
      <c r="AH1135" s="35">
        <v>2022</v>
      </c>
      <c r="AT1135" s="20" t="e">
        <f t="shared" si="504"/>
        <v>#N/A</v>
      </c>
    </row>
    <row r="1136" spans="1:46" ht="61.5" x14ac:dyDescent="0.85">
      <c r="B1136" s="24" t="s">
        <v>884</v>
      </c>
      <c r="C1136" s="117"/>
      <c r="D1136" s="31">
        <f>D1137</f>
        <v>3231458.3</v>
      </c>
      <c r="E1136" s="31">
        <f t="shared" ref="E1136:AE1136" si="529">E1137</f>
        <v>0</v>
      </c>
      <c r="F1136" s="31">
        <f t="shared" si="529"/>
        <v>0</v>
      </c>
      <c r="G1136" s="31">
        <f t="shared" si="529"/>
        <v>0</v>
      </c>
      <c r="H1136" s="31">
        <f t="shared" si="529"/>
        <v>0</v>
      </c>
      <c r="I1136" s="31">
        <f t="shared" si="529"/>
        <v>0</v>
      </c>
      <c r="J1136" s="31">
        <f t="shared" si="529"/>
        <v>0</v>
      </c>
      <c r="K1136" s="33">
        <f t="shared" si="529"/>
        <v>0</v>
      </c>
      <c r="L1136" s="31">
        <f t="shared" si="529"/>
        <v>0</v>
      </c>
      <c r="M1136" s="31">
        <f t="shared" si="529"/>
        <v>670.8</v>
      </c>
      <c r="N1136" s="31">
        <f t="shared" si="529"/>
        <v>3035919.51</v>
      </c>
      <c r="O1136" s="31">
        <f t="shared" si="529"/>
        <v>0</v>
      </c>
      <c r="P1136" s="31">
        <f t="shared" si="529"/>
        <v>0</v>
      </c>
      <c r="Q1136" s="31">
        <f t="shared" si="529"/>
        <v>0</v>
      </c>
      <c r="R1136" s="31">
        <f t="shared" si="529"/>
        <v>0</v>
      </c>
      <c r="S1136" s="31">
        <f t="shared" si="529"/>
        <v>0</v>
      </c>
      <c r="T1136" s="31">
        <f t="shared" si="529"/>
        <v>0</v>
      </c>
      <c r="U1136" s="31">
        <f t="shared" si="529"/>
        <v>0</v>
      </c>
      <c r="V1136" s="31">
        <f t="shared" si="529"/>
        <v>0</v>
      </c>
      <c r="W1136" s="31">
        <f t="shared" si="529"/>
        <v>0</v>
      </c>
      <c r="X1136" s="31">
        <f t="shared" si="529"/>
        <v>0</v>
      </c>
      <c r="Y1136" s="31">
        <f t="shared" si="529"/>
        <v>0</v>
      </c>
      <c r="Z1136" s="31">
        <f t="shared" si="529"/>
        <v>0</v>
      </c>
      <c r="AA1136" s="31">
        <f t="shared" si="529"/>
        <v>0</v>
      </c>
      <c r="AB1136" s="31">
        <f t="shared" si="529"/>
        <v>0</v>
      </c>
      <c r="AC1136" s="31">
        <f t="shared" si="529"/>
        <v>45538.79</v>
      </c>
      <c r="AD1136" s="31">
        <f t="shared" si="529"/>
        <v>150000</v>
      </c>
      <c r="AE1136" s="31">
        <f t="shared" si="529"/>
        <v>0</v>
      </c>
      <c r="AF1136" s="119" t="s">
        <v>794</v>
      </c>
      <c r="AG1136" s="119" t="s">
        <v>794</v>
      </c>
      <c r="AH1136" s="120" t="s">
        <v>794</v>
      </c>
      <c r="AT1136" s="20" t="e">
        <f t="shared" si="504"/>
        <v>#N/A</v>
      </c>
    </row>
    <row r="1137" spans="1:46" ht="61.5" x14ac:dyDescent="0.85">
      <c r="A1137" s="20">
        <v>1</v>
      </c>
      <c r="B1137" s="66">
        <f>SUBTOTAL(103,$A$929:A1137)</f>
        <v>174</v>
      </c>
      <c r="C1137" s="24" t="s">
        <v>66</v>
      </c>
      <c r="D1137" s="31">
        <f t="shared" ref="D1137" si="530">E1137+F1137+G1137+H1137+I1137+J1137+L1137+N1137+P1137+R1137+T1137+U1137+V1137+W1137+X1137+Y1137+Z1137+AA1137+AB1137+AC1137+AD1137+AE1137</f>
        <v>3231458.3</v>
      </c>
      <c r="E1137" s="31">
        <v>0</v>
      </c>
      <c r="F1137" s="31">
        <v>0</v>
      </c>
      <c r="G1137" s="31">
        <v>0</v>
      </c>
      <c r="H1137" s="31">
        <v>0</v>
      </c>
      <c r="I1137" s="31">
        <v>0</v>
      </c>
      <c r="J1137" s="31">
        <v>0</v>
      </c>
      <c r="K1137" s="33">
        <v>0</v>
      </c>
      <c r="L1137" s="31">
        <v>0</v>
      </c>
      <c r="M1137" s="31">
        <v>670.8</v>
      </c>
      <c r="N1137" s="31">
        <v>3035919.51</v>
      </c>
      <c r="O1137" s="31">
        <v>0</v>
      </c>
      <c r="P1137" s="31">
        <v>0</v>
      </c>
      <c r="Q1137" s="31">
        <v>0</v>
      </c>
      <c r="R1137" s="31">
        <v>0</v>
      </c>
      <c r="S1137" s="31">
        <v>0</v>
      </c>
      <c r="T1137" s="31">
        <v>0</v>
      </c>
      <c r="U1137" s="31">
        <v>0</v>
      </c>
      <c r="V1137" s="31">
        <v>0</v>
      </c>
      <c r="W1137" s="31">
        <v>0</v>
      </c>
      <c r="X1137" s="31">
        <v>0</v>
      </c>
      <c r="Y1137" s="31">
        <v>0</v>
      </c>
      <c r="Z1137" s="31">
        <v>0</v>
      </c>
      <c r="AA1137" s="31">
        <v>0</v>
      </c>
      <c r="AB1137" s="31">
        <v>0</v>
      </c>
      <c r="AC1137" s="31">
        <f>ROUND(N1137*1.5%,2)</f>
        <v>45538.79</v>
      </c>
      <c r="AD1137" s="31">
        <v>150000</v>
      </c>
      <c r="AE1137" s="31">
        <v>0</v>
      </c>
      <c r="AF1137" s="34">
        <v>2022</v>
      </c>
      <c r="AG1137" s="34">
        <v>2022</v>
      </c>
      <c r="AH1137" s="35">
        <v>2022</v>
      </c>
      <c r="AT1137" s="20" t="e">
        <f t="shared" si="504"/>
        <v>#N/A</v>
      </c>
    </row>
    <row r="1138" spans="1:46" ht="61.5" x14ac:dyDescent="0.85">
      <c r="B1138" s="24" t="s">
        <v>886</v>
      </c>
      <c r="C1138" s="24"/>
      <c r="D1138" s="31">
        <f>D1139+D1140+D1141</f>
        <v>16849360.93</v>
      </c>
      <c r="E1138" s="31">
        <f t="shared" ref="E1138:AE1138" si="531">E1139+E1140+E1141</f>
        <v>451170.83</v>
      </c>
      <c r="F1138" s="31">
        <f t="shared" si="531"/>
        <v>885201.84</v>
      </c>
      <c r="G1138" s="31">
        <f t="shared" si="531"/>
        <v>1880858.0000000002</v>
      </c>
      <c r="H1138" s="31">
        <f t="shared" si="531"/>
        <v>667182.5</v>
      </c>
      <c r="I1138" s="31">
        <f t="shared" si="531"/>
        <v>0</v>
      </c>
      <c r="J1138" s="31">
        <f t="shared" si="531"/>
        <v>0</v>
      </c>
      <c r="K1138" s="33">
        <f t="shared" si="531"/>
        <v>0</v>
      </c>
      <c r="L1138" s="31">
        <f t="shared" si="531"/>
        <v>0</v>
      </c>
      <c r="M1138" s="31">
        <f t="shared" si="531"/>
        <v>2286.5</v>
      </c>
      <c r="N1138" s="31">
        <f t="shared" si="531"/>
        <v>12065696.120000001</v>
      </c>
      <c r="O1138" s="31">
        <f t="shared" si="531"/>
        <v>0</v>
      </c>
      <c r="P1138" s="31">
        <f t="shared" si="531"/>
        <v>0</v>
      </c>
      <c r="Q1138" s="31">
        <f t="shared" si="531"/>
        <v>0</v>
      </c>
      <c r="R1138" s="31">
        <f t="shared" si="531"/>
        <v>0</v>
      </c>
      <c r="S1138" s="31">
        <f t="shared" si="531"/>
        <v>0</v>
      </c>
      <c r="T1138" s="31">
        <f t="shared" si="531"/>
        <v>0</v>
      </c>
      <c r="U1138" s="31">
        <f t="shared" si="531"/>
        <v>0</v>
      </c>
      <c r="V1138" s="31">
        <f t="shared" si="531"/>
        <v>0</v>
      </c>
      <c r="W1138" s="31">
        <f t="shared" si="531"/>
        <v>0</v>
      </c>
      <c r="X1138" s="31">
        <f t="shared" si="531"/>
        <v>0</v>
      </c>
      <c r="Y1138" s="31">
        <f t="shared" si="531"/>
        <v>0</v>
      </c>
      <c r="Z1138" s="31">
        <f t="shared" si="531"/>
        <v>0</v>
      </c>
      <c r="AA1138" s="31">
        <f t="shared" si="531"/>
        <v>0</v>
      </c>
      <c r="AB1138" s="31">
        <f t="shared" si="531"/>
        <v>0</v>
      </c>
      <c r="AC1138" s="31">
        <f t="shared" si="531"/>
        <v>239251.64</v>
      </c>
      <c r="AD1138" s="31">
        <f t="shared" si="531"/>
        <v>660000</v>
      </c>
      <c r="AE1138" s="31">
        <f t="shared" si="531"/>
        <v>0</v>
      </c>
      <c r="AF1138" s="119" t="s">
        <v>794</v>
      </c>
      <c r="AG1138" s="119" t="s">
        <v>794</v>
      </c>
      <c r="AH1138" s="120" t="s">
        <v>794</v>
      </c>
      <c r="AT1138" s="20" t="e">
        <f t="shared" si="504"/>
        <v>#N/A</v>
      </c>
    </row>
    <row r="1139" spans="1:46" ht="61.5" x14ac:dyDescent="0.85">
      <c r="A1139" s="20">
        <v>1</v>
      </c>
      <c r="B1139" s="66">
        <f>SUBTOTAL(103,$A$929:A1139)</f>
        <v>175</v>
      </c>
      <c r="C1139" s="24" t="s">
        <v>69</v>
      </c>
      <c r="D1139" s="31">
        <f t="shared" ref="D1139:D1141" si="532">E1139+F1139+G1139+H1139+I1139+J1139+L1139+N1139+P1139+R1139+T1139+U1139+V1139+W1139+X1139+Y1139+Z1139+AA1139+AB1139+AC1139+AD1139+AE1139</f>
        <v>5782944.25</v>
      </c>
      <c r="E1139" s="31">
        <v>0</v>
      </c>
      <c r="F1139" s="31">
        <v>0</v>
      </c>
      <c r="G1139" s="31">
        <v>0</v>
      </c>
      <c r="H1139" s="31">
        <v>0</v>
      </c>
      <c r="I1139" s="31">
        <v>0</v>
      </c>
      <c r="J1139" s="31">
        <v>0</v>
      </c>
      <c r="K1139" s="33">
        <v>0</v>
      </c>
      <c r="L1139" s="31">
        <v>0</v>
      </c>
      <c r="M1139" s="31">
        <v>1047.5999999999999</v>
      </c>
      <c r="N1139" s="31">
        <v>5520142.1200000001</v>
      </c>
      <c r="O1139" s="31">
        <v>0</v>
      </c>
      <c r="P1139" s="31">
        <v>0</v>
      </c>
      <c r="Q1139" s="31">
        <v>0</v>
      </c>
      <c r="R1139" s="31">
        <v>0</v>
      </c>
      <c r="S1139" s="31">
        <v>0</v>
      </c>
      <c r="T1139" s="31">
        <v>0</v>
      </c>
      <c r="U1139" s="31">
        <v>0</v>
      </c>
      <c r="V1139" s="31">
        <v>0</v>
      </c>
      <c r="W1139" s="31">
        <v>0</v>
      </c>
      <c r="X1139" s="31">
        <v>0</v>
      </c>
      <c r="Y1139" s="31">
        <v>0</v>
      </c>
      <c r="Z1139" s="31">
        <v>0</v>
      </c>
      <c r="AA1139" s="31">
        <v>0</v>
      </c>
      <c r="AB1139" s="31">
        <v>0</v>
      </c>
      <c r="AC1139" s="31">
        <f t="shared" ref="AC1139:AC1140" si="533">ROUND(N1139*1.5%,2)</f>
        <v>82802.13</v>
      </c>
      <c r="AD1139" s="31">
        <v>180000</v>
      </c>
      <c r="AE1139" s="31">
        <v>0</v>
      </c>
      <c r="AF1139" s="34">
        <v>2022</v>
      </c>
      <c r="AG1139" s="34">
        <v>2022</v>
      </c>
      <c r="AH1139" s="35">
        <v>2022</v>
      </c>
      <c r="AT1139" s="20" t="e">
        <f t="shared" si="504"/>
        <v>#N/A</v>
      </c>
    </row>
    <row r="1140" spans="1:46" ht="61.5" x14ac:dyDescent="0.85">
      <c r="A1140" s="20">
        <v>1</v>
      </c>
      <c r="B1140" s="66">
        <f>SUBTOTAL(103,$A$929:A1140)</f>
        <v>176</v>
      </c>
      <c r="C1140" s="24" t="s">
        <v>68</v>
      </c>
      <c r="D1140" s="31">
        <f t="shared" si="532"/>
        <v>6823737.3099999996</v>
      </c>
      <c r="E1140" s="31">
        <v>0</v>
      </c>
      <c r="F1140" s="31">
        <v>0</v>
      </c>
      <c r="G1140" s="31">
        <v>0</v>
      </c>
      <c r="H1140" s="31">
        <v>0</v>
      </c>
      <c r="I1140" s="31">
        <v>0</v>
      </c>
      <c r="J1140" s="31">
        <v>0</v>
      </c>
      <c r="K1140" s="33">
        <v>0</v>
      </c>
      <c r="L1140" s="31">
        <v>0</v>
      </c>
      <c r="M1140" s="31">
        <v>1238.9000000000001</v>
      </c>
      <c r="N1140" s="31">
        <v>6545554</v>
      </c>
      <c r="O1140" s="31">
        <v>0</v>
      </c>
      <c r="P1140" s="31">
        <v>0</v>
      </c>
      <c r="Q1140" s="31">
        <v>0</v>
      </c>
      <c r="R1140" s="31">
        <v>0</v>
      </c>
      <c r="S1140" s="31">
        <v>0</v>
      </c>
      <c r="T1140" s="31">
        <v>0</v>
      </c>
      <c r="U1140" s="31">
        <v>0</v>
      </c>
      <c r="V1140" s="31">
        <v>0</v>
      </c>
      <c r="W1140" s="31">
        <v>0</v>
      </c>
      <c r="X1140" s="31">
        <v>0</v>
      </c>
      <c r="Y1140" s="31">
        <v>0</v>
      </c>
      <c r="Z1140" s="31">
        <v>0</v>
      </c>
      <c r="AA1140" s="31">
        <v>0</v>
      </c>
      <c r="AB1140" s="31">
        <v>0</v>
      </c>
      <c r="AC1140" s="31">
        <f t="shared" si="533"/>
        <v>98183.31</v>
      </c>
      <c r="AD1140" s="31">
        <v>180000</v>
      </c>
      <c r="AE1140" s="31">
        <v>0</v>
      </c>
      <c r="AF1140" s="34">
        <v>2022</v>
      </c>
      <c r="AG1140" s="34">
        <v>2022</v>
      </c>
      <c r="AH1140" s="35">
        <v>2022</v>
      </c>
      <c r="AT1140" s="20" t="e">
        <f t="shared" si="504"/>
        <v>#N/A</v>
      </c>
    </row>
    <row r="1141" spans="1:46" ht="61.5" x14ac:dyDescent="0.85">
      <c r="A1141" s="20">
        <v>1</v>
      </c>
      <c r="B1141" s="66">
        <f>SUBTOTAL(103,$A$929:A1141)</f>
        <v>177</v>
      </c>
      <c r="C1141" s="24" t="s">
        <v>67</v>
      </c>
      <c r="D1141" s="31">
        <f t="shared" si="532"/>
        <v>4242679.37</v>
      </c>
      <c r="E1141" s="31">
        <v>451170.83</v>
      </c>
      <c r="F1141" s="31">
        <v>885201.84</v>
      </c>
      <c r="G1141" s="31">
        <v>1880858.0000000002</v>
      </c>
      <c r="H1141" s="31">
        <v>667182.5</v>
      </c>
      <c r="I1141" s="31">
        <v>0</v>
      </c>
      <c r="J1141" s="31">
        <v>0</v>
      </c>
      <c r="K1141" s="33">
        <v>0</v>
      </c>
      <c r="L1141" s="31">
        <v>0</v>
      </c>
      <c r="M1141" s="31">
        <v>0</v>
      </c>
      <c r="N1141" s="31">
        <v>0</v>
      </c>
      <c r="O1141" s="31">
        <v>0</v>
      </c>
      <c r="P1141" s="31">
        <v>0</v>
      </c>
      <c r="Q1141" s="31">
        <v>0</v>
      </c>
      <c r="R1141" s="31">
        <v>0</v>
      </c>
      <c r="S1141" s="31">
        <v>0</v>
      </c>
      <c r="T1141" s="31">
        <v>0</v>
      </c>
      <c r="U1141" s="31">
        <v>0</v>
      </c>
      <c r="V1141" s="31">
        <v>0</v>
      </c>
      <c r="W1141" s="31">
        <v>0</v>
      </c>
      <c r="X1141" s="31">
        <v>0</v>
      </c>
      <c r="Y1141" s="31">
        <v>0</v>
      </c>
      <c r="Z1141" s="31">
        <v>0</v>
      </c>
      <c r="AA1141" s="31">
        <v>0</v>
      </c>
      <c r="AB1141" s="31">
        <v>0</v>
      </c>
      <c r="AC1141" s="31">
        <f>ROUND((E1141+F1141+G1141+H1141+I1141+J1141)*1.5%,2)</f>
        <v>58266.2</v>
      </c>
      <c r="AD1141" s="31">
        <v>300000</v>
      </c>
      <c r="AE1141" s="31">
        <v>0</v>
      </c>
      <c r="AF1141" s="34">
        <v>2022</v>
      </c>
      <c r="AG1141" s="34">
        <v>2022</v>
      </c>
      <c r="AH1141" s="35">
        <v>2022</v>
      </c>
      <c r="AT1141" s="20" t="e">
        <f t="shared" si="504"/>
        <v>#N/A</v>
      </c>
    </row>
    <row r="1142" spans="1:46" ht="61.5" x14ac:dyDescent="0.85">
      <c r="B1142" s="24" t="s">
        <v>887</v>
      </c>
      <c r="C1142" s="24"/>
      <c r="D1142" s="31">
        <f>D1143</f>
        <v>3799734.79</v>
      </c>
      <c r="E1142" s="31">
        <f t="shared" ref="E1142:AE1142" si="534">E1143</f>
        <v>0</v>
      </c>
      <c r="F1142" s="31">
        <f t="shared" si="534"/>
        <v>0</v>
      </c>
      <c r="G1142" s="31">
        <f t="shared" si="534"/>
        <v>0</v>
      </c>
      <c r="H1142" s="31">
        <f t="shared" si="534"/>
        <v>0</v>
      </c>
      <c r="I1142" s="31">
        <f t="shared" si="534"/>
        <v>0</v>
      </c>
      <c r="J1142" s="31">
        <f t="shared" si="534"/>
        <v>0</v>
      </c>
      <c r="K1142" s="33">
        <f t="shared" si="534"/>
        <v>0</v>
      </c>
      <c r="L1142" s="31">
        <f t="shared" si="534"/>
        <v>0</v>
      </c>
      <c r="M1142" s="31">
        <f t="shared" si="534"/>
        <v>0</v>
      </c>
      <c r="N1142" s="31">
        <f t="shared" si="534"/>
        <v>0</v>
      </c>
      <c r="O1142" s="31">
        <f t="shared" si="534"/>
        <v>0</v>
      </c>
      <c r="P1142" s="31">
        <f t="shared" si="534"/>
        <v>0</v>
      </c>
      <c r="Q1142" s="31">
        <f t="shared" si="534"/>
        <v>0</v>
      </c>
      <c r="R1142" s="31">
        <f t="shared" si="534"/>
        <v>0</v>
      </c>
      <c r="S1142" s="31">
        <f t="shared" si="534"/>
        <v>72.77</v>
      </c>
      <c r="T1142" s="31">
        <f t="shared" si="534"/>
        <v>3595797.82</v>
      </c>
      <c r="U1142" s="31">
        <f t="shared" si="534"/>
        <v>0</v>
      </c>
      <c r="V1142" s="31">
        <f t="shared" si="534"/>
        <v>0</v>
      </c>
      <c r="W1142" s="31">
        <f t="shared" si="534"/>
        <v>0</v>
      </c>
      <c r="X1142" s="31">
        <f t="shared" si="534"/>
        <v>0</v>
      </c>
      <c r="Y1142" s="31">
        <f t="shared" si="534"/>
        <v>0</v>
      </c>
      <c r="Z1142" s="31">
        <f t="shared" si="534"/>
        <v>0</v>
      </c>
      <c r="AA1142" s="31">
        <f t="shared" si="534"/>
        <v>0</v>
      </c>
      <c r="AB1142" s="31">
        <f t="shared" si="534"/>
        <v>0</v>
      </c>
      <c r="AC1142" s="31">
        <f t="shared" si="534"/>
        <v>53936.97</v>
      </c>
      <c r="AD1142" s="31">
        <f t="shared" si="534"/>
        <v>150000</v>
      </c>
      <c r="AE1142" s="31">
        <f t="shared" si="534"/>
        <v>0</v>
      </c>
      <c r="AF1142" s="119" t="s">
        <v>794</v>
      </c>
      <c r="AG1142" s="119" t="s">
        <v>794</v>
      </c>
      <c r="AH1142" s="120" t="s">
        <v>794</v>
      </c>
      <c r="AT1142" s="20" t="e">
        <f t="shared" si="504"/>
        <v>#N/A</v>
      </c>
    </row>
    <row r="1143" spans="1:46" ht="61.5" x14ac:dyDescent="0.85">
      <c r="A1143" s="20">
        <v>1</v>
      </c>
      <c r="B1143" s="66">
        <f>SUBTOTAL(103,$A$929:A1143)</f>
        <v>178</v>
      </c>
      <c r="C1143" s="24" t="s">
        <v>65</v>
      </c>
      <c r="D1143" s="31">
        <f t="shared" ref="D1143" si="535">E1143+F1143+G1143+H1143+I1143+J1143+L1143+N1143+P1143+R1143+T1143+U1143+V1143+W1143+X1143+Y1143+Z1143+AA1143+AB1143+AC1143+AD1143+AE1143</f>
        <v>3799734.79</v>
      </c>
      <c r="E1143" s="31">
        <v>0</v>
      </c>
      <c r="F1143" s="31">
        <v>0</v>
      </c>
      <c r="G1143" s="31">
        <v>0</v>
      </c>
      <c r="H1143" s="31">
        <v>0</v>
      </c>
      <c r="I1143" s="31">
        <v>0</v>
      </c>
      <c r="J1143" s="31">
        <v>0</v>
      </c>
      <c r="K1143" s="33">
        <v>0</v>
      </c>
      <c r="L1143" s="31">
        <v>0</v>
      </c>
      <c r="M1143" s="31">
        <v>0</v>
      </c>
      <c r="N1143" s="31">
        <v>0</v>
      </c>
      <c r="O1143" s="31">
        <v>0</v>
      </c>
      <c r="P1143" s="31">
        <v>0</v>
      </c>
      <c r="Q1143" s="31">
        <v>0</v>
      </c>
      <c r="R1143" s="31">
        <v>0</v>
      </c>
      <c r="S1143" s="31">
        <v>72.77</v>
      </c>
      <c r="T1143" s="31">
        <v>3595797.82</v>
      </c>
      <c r="U1143" s="31">
        <v>0</v>
      </c>
      <c r="V1143" s="31">
        <v>0</v>
      </c>
      <c r="W1143" s="31">
        <v>0</v>
      </c>
      <c r="X1143" s="31">
        <v>0</v>
      </c>
      <c r="Y1143" s="31">
        <v>0</v>
      </c>
      <c r="Z1143" s="31">
        <v>0</v>
      </c>
      <c r="AA1143" s="31">
        <v>0</v>
      </c>
      <c r="AB1143" s="31">
        <v>0</v>
      </c>
      <c r="AC1143" s="31">
        <f>ROUND(T1143*1.5%,2)</f>
        <v>53936.97</v>
      </c>
      <c r="AD1143" s="31">
        <v>150000</v>
      </c>
      <c r="AE1143" s="31">
        <v>0</v>
      </c>
      <c r="AF1143" s="34">
        <v>2022</v>
      </c>
      <c r="AG1143" s="34">
        <v>2022</v>
      </c>
      <c r="AH1143" s="35">
        <v>2022</v>
      </c>
      <c r="AT1143" s="20" t="e">
        <f t="shared" si="504"/>
        <v>#N/A</v>
      </c>
    </row>
    <row r="1144" spans="1:46" ht="61.5" x14ac:dyDescent="0.85">
      <c r="B1144" s="24" t="s">
        <v>888</v>
      </c>
      <c r="C1144" s="24"/>
      <c r="D1144" s="31">
        <f>D1145</f>
        <v>2311215.4500000002</v>
      </c>
      <c r="E1144" s="31">
        <f t="shared" ref="E1144:AE1144" si="536">E1145</f>
        <v>0</v>
      </c>
      <c r="F1144" s="31">
        <f t="shared" si="536"/>
        <v>0</v>
      </c>
      <c r="G1144" s="31">
        <f t="shared" si="536"/>
        <v>0</v>
      </c>
      <c r="H1144" s="31">
        <f t="shared" si="536"/>
        <v>0</v>
      </c>
      <c r="I1144" s="31">
        <f t="shared" si="536"/>
        <v>0</v>
      </c>
      <c r="J1144" s="31">
        <f t="shared" si="536"/>
        <v>0</v>
      </c>
      <c r="K1144" s="33">
        <f t="shared" si="536"/>
        <v>0</v>
      </c>
      <c r="L1144" s="31">
        <f t="shared" si="536"/>
        <v>0</v>
      </c>
      <c r="M1144" s="31">
        <f t="shared" si="536"/>
        <v>470</v>
      </c>
      <c r="N1144" s="31">
        <f t="shared" si="536"/>
        <v>2158832.96</v>
      </c>
      <c r="O1144" s="31">
        <f t="shared" si="536"/>
        <v>0</v>
      </c>
      <c r="P1144" s="31">
        <f t="shared" si="536"/>
        <v>0</v>
      </c>
      <c r="Q1144" s="31">
        <f t="shared" si="536"/>
        <v>0</v>
      </c>
      <c r="R1144" s="31">
        <f t="shared" si="536"/>
        <v>0</v>
      </c>
      <c r="S1144" s="31">
        <f t="shared" si="536"/>
        <v>0</v>
      </c>
      <c r="T1144" s="31">
        <f t="shared" si="536"/>
        <v>0</v>
      </c>
      <c r="U1144" s="31">
        <f t="shared" si="536"/>
        <v>0</v>
      </c>
      <c r="V1144" s="31">
        <f t="shared" si="536"/>
        <v>0</v>
      </c>
      <c r="W1144" s="31">
        <f t="shared" si="536"/>
        <v>0</v>
      </c>
      <c r="X1144" s="31">
        <f t="shared" si="536"/>
        <v>0</v>
      </c>
      <c r="Y1144" s="31">
        <f t="shared" si="536"/>
        <v>0</v>
      </c>
      <c r="Z1144" s="31">
        <f t="shared" si="536"/>
        <v>0</v>
      </c>
      <c r="AA1144" s="31">
        <f t="shared" si="536"/>
        <v>0</v>
      </c>
      <c r="AB1144" s="31">
        <f t="shared" si="536"/>
        <v>0</v>
      </c>
      <c r="AC1144" s="31">
        <f t="shared" si="536"/>
        <v>32382.49</v>
      </c>
      <c r="AD1144" s="31">
        <f t="shared" si="536"/>
        <v>120000</v>
      </c>
      <c r="AE1144" s="31">
        <f t="shared" si="536"/>
        <v>0</v>
      </c>
      <c r="AF1144" s="119" t="s">
        <v>794</v>
      </c>
      <c r="AG1144" s="119" t="s">
        <v>794</v>
      </c>
      <c r="AH1144" s="120" t="s">
        <v>794</v>
      </c>
      <c r="AT1144" s="20" t="e">
        <f t="shared" si="504"/>
        <v>#N/A</v>
      </c>
    </row>
    <row r="1145" spans="1:46" ht="61.5" x14ac:dyDescent="0.85">
      <c r="A1145" s="20">
        <v>1</v>
      </c>
      <c r="B1145" s="66">
        <f>SUBTOTAL(103,$A$929:A1145)</f>
        <v>179</v>
      </c>
      <c r="C1145" s="24" t="s">
        <v>64</v>
      </c>
      <c r="D1145" s="31">
        <f t="shared" ref="D1145" si="537">E1145+F1145+G1145+H1145+I1145+J1145+L1145+N1145+P1145+R1145+T1145+U1145+V1145+W1145+X1145+Y1145+Z1145+AA1145+AB1145+AC1145+AD1145+AE1145</f>
        <v>2311215.4500000002</v>
      </c>
      <c r="E1145" s="31">
        <v>0</v>
      </c>
      <c r="F1145" s="31">
        <v>0</v>
      </c>
      <c r="G1145" s="31">
        <v>0</v>
      </c>
      <c r="H1145" s="31">
        <v>0</v>
      </c>
      <c r="I1145" s="31">
        <v>0</v>
      </c>
      <c r="J1145" s="31">
        <v>0</v>
      </c>
      <c r="K1145" s="33">
        <v>0</v>
      </c>
      <c r="L1145" s="31">
        <v>0</v>
      </c>
      <c r="M1145" s="31">
        <v>470</v>
      </c>
      <c r="N1145" s="31">
        <v>2158832.96</v>
      </c>
      <c r="O1145" s="31">
        <v>0</v>
      </c>
      <c r="P1145" s="31">
        <v>0</v>
      </c>
      <c r="Q1145" s="31">
        <v>0</v>
      </c>
      <c r="R1145" s="31">
        <v>0</v>
      </c>
      <c r="S1145" s="31">
        <v>0</v>
      </c>
      <c r="T1145" s="31">
        <v>0</v>
      </c>
      <c r="U1145" s="31">
        <v>0</v>
      </c>
      <c r="V1145" s="31">
        <v>0</v>
      </c>
      <c r="W1145" s="31">
        <v>0</v>
      </c>
      <c r="X1145" s="31">
        <v>0</v>
      </c>
      <c r="Y1145" s="31">
        <v>0</v>
      </c>
      <c r="Z1145" s="31">
        <v>0</v>
      </c>
      <c r="AA1145" s="31">
        <v>0</v>
      </c>
      <c r="AB1145" s="31">
        <v>0</v>
      </c>
      <c r="AC1145" s="31">
        <f>ROUND(N1145*1.5%,2)</f>
        <v>32382.49</v>
      </c>
      <c r="AD1145" s="31">
        <v>120000</v>
      </c>
      <c r="AE1145" s="31">
        <v>0</v>
      </c>
      <c r="AF1145" s="34">
        <v>2022</v>
      </c>
      <c r="AG1145" s="34">
        <v>2022</v>
      </c>
      <c r="AH1145" s="35">
        <v>2022</v>
      </c>
      <c r="AT1145" s="20" t="e">
        <f t="shared" si="504"/>
        <v>#N/A</v>
      </c>
    </row>
    <row r="1146" spans="1:46" ht="61.5" x14ac:dyDescent="0.85">
      <c r="B1146" s="24" t="s">
        <v>927</v>
      </c>
      <c r="C1146" s="24"/>
      <c r="D1146" s="31">
        <f>D1147</f>
        <v>3215375.5700000003</v>
      </c>
      <c r="E1146" s="31">
        <f t="shared" ref="E1146:AE1146" si="538">E1147</f>
        <v>0</v>
      </c>
      <c r="F1146" s="31">
        <f t="shared" si="538"/>
        <v>0</v>
      </c>
      <c r="G1146" s="31">
        <f t="shared" si="538"/>
        <v>0</v>
      </c>
      <c r="H1146" s="31">
        <f t="shared" si="538"/>
        <v>0</v>
      </c>
      <c r="I1146" s="31">
        <f t="shared" si="538"/>
        <v>0</v>
      </c>
      <c r="J1146" s="31">
        <f t="shared" si="538"/>
        <v>0</v>
      </c>
      <c r="K1146" s="33">
        <f t="shared" si="538"/>
        <v>0</v>
      </c>
      <c r="L1146" s="31">
        <f t="shared" si="538"/>
        <v>0</v>
      </c>
      <c r="M1146" s="31">
        <f t="shared" si="538"/>
        <v>615.76</v>
      </c>
      <c r="N1146" s="31">
        <f t="shared" si="538"/>
        <v>3020074.45</v>
      </c>
      <c r="O1146" s="31">
        <f t="shared" si="538"/>
        <v>0</v>
      </c>
      <c r="P1146" s="31">
        <f t="shared" si="538"/>
        <v>0</v>
      </c>
      <c r="Q1146" s="31">
        <f t="shared" si="538"/>
        <v>0</v>
      </c>
      <c r="R1146" s="31">
        <f t="shared" si="538"/>
        <v>0</v>
      </c>
      <c r="S1146" s="31">
        <f t="shared" si="538"/>
        <v>0</v>
      </c>
      <c r="T1146" s="31">
        <f t="shared" si="538"/>
        <v>0</v>
      </c>
      <c r="U1146" s="31">
        <f t="shared" si="538"/>
        <v>0</v>
      </c>
      <c r="V1146" s="31">
        <f t="shared" si="538"/>
        <v>0</v>
      </c>
      <c r="W1146" s="31">
        <f t="shared" si="538"/>
        <v>0</v>
      </c>
      <c r="X1146" s="31">
        <f t="shared" si="538"/>
        <v>0</v>
      </c>
      <c r="Y1146" s="31">
        <f t="shared" si="538"/>
        <v>0</v>
      </c>
      <c r="Z1146" s="31">
        <f t="shared" si="538"/>
        <v>0</v>
      </c>
      <c r="AA1146" s="31">
        <f t="shared" si="538"/>
        <v>0</v>
      </c>
      <c r="AB1146" s="31">
        <f t="shared" si="538"/>
        <v>0</v>
      </c>
      <c r="AC1146" s="31">
        <f t="shared" si="538"/>
        <v>45301.120000000003</v>
      </c>
      <c r="AD1146" s="31">
        <f t="shared" si="538"/>
        <v>150000</v>
      </c>
      <c r="AE1146" s="31">
        <f t="shared" si="538"/>
        <v>0</v>
      </c>
      <c r="AF1146" s="119" t="s">
        <v>794</v>
      </c>
      <c r="AG1146" s="119" t="s">
        <v>794</v>
      </c>
      <c r="AH1146" s="120" t="s">
        <v>794</v>
      </c>
      <c r="AT1146" s="20" t="e">
        <f t="shared" si="504"/>
        <v>#N/A</v>
      </c>
    </row>
    <row r="1147" spans="1:46" ht="61.5" x14ac:dyDescent="0.85">
      <c r="A1147" s="20">
        <v>1</v>
      </c>
      <c r="B1147" s="66">
        <f>SUBTOTAL(103,$A$929:A1147)</f>
        <v>180</v>
      </c>
      <c r="C1147" s="24" t="s">
        <v>70</v>
      </c>
      <c r="D1147" s="31">
        <f t="shared" ref="D1147" si="539">E1147+F1147+G1147+H1147+I1147+J1147+L1147+N1147+P1147+R1147+T1147+U1147+V1147+W1147+X1147+Y1147+Z1147+AA1147+AB1147+AC1147+AD1147+AE1147</f>
        <v>3215375.5700000003</v>
      </c>
      <c r="E1147" s="31">
        <v>0</v>
      </c>
      <c r="F1147" s="31">
        <v>0</v>
      </c>
      <c r="G1147" s="31">
        <v>0</v>
      </c>
      <c r="H1147" s="31">
        <v>0</v>
      </c>
      <c r="I1147" s="31">
        <v>0</v>
      </c>
      <c r="J1147" s="31">
        <v>0</v>
      </c>
      <c r="K1147" s="33">
        <v>0</v>
      </c>
      <c r="L1147" s="31">
        <v>0</v>
      </c>
      <c r="M1147" s="31">
        <v>615.76</v>
      </c>
      <c r="N1147" s="31">
        <v>3020074.45</v>
      </c>
      <c r="O1147" s="31">
        <v>0</v>
      </c>
      <c r="P1147" s="31">
        <v>0</v>
      </c>
      <c r="Q1147" s="31">
        <v>0</v>
      </c>
      <c r="R1147" s="31">
        <v>0</v>
      </c>
      <c r="S1147" s="31">
        <v>0</v>
      </c>
      <c r="T1147" s="31">
        <v>0</v>
      </c>
      <c r="U1147" s="31">
        <v>0</v>
      </c>
      <c r="V1147" s="31">
        <v>0</v>
      </c>
      <c r="W1147" s="31">
        <v>0</v>
      </c>
      <c r="X1147" s="31">
        <v>0</v>
      </c>
      <c r="Y1147" s="31">
        <v>0</v>
      </c>
      <c r="Z1147" s="31">
        <v>0</v>
      </c>
      <c r="AA1147" s="31">
        <v>0</v>
      </c>
      <c r="AB1147" s="31">
        <v>0</v>
      </c>
      <c r="AC1147" s="31">
        <f>ROUND(N1147*1.5%,2)</f>
        <v>45301.120000000003</v>
      </c>
      <c r="AD1147" s="31">
        <v>150000</v>
      </c>
      <c r="AE1147" s="31">
        <v>0</v>
      </c>
      <c r="AF1147" s="34">
        <v>2022</v>
      </c>
      <c r="AG1147" s="34">
        <v>2022</v>
      </c>
      <c r="AH1147" s="35">
        <v>2022</v>
      </c>
      <c r="AT1147" s="20" t="e">
        <f t="shared" si="504"/>
        <v>#N/A</v>
      </c>
    </row>
    <row r="1148" spans="1:46" ht="61.5" x14ac:dyDescent="0.85">
      <c r="B1148" s="24" t="s">
        <v>889</v>
      </c>
      <c r="C1148" s="24"/>
      <c r="D1148" s="31">
        <f>D1149+D1150+D1151</f>
        <v>10672314.84</v>
      </c>
      <c r="E1148" s="31">
        <f t="shared" ref="E1148:AE1148" si="540">E1149+E1150+E1151</f>
        <v>0</v>
      </c>
      <c r="F1148" s="31">
        <f t="shared" si="540"/>
        <v>0</v>
      </c>
      <c r="G1148" s="31">
        <f t="shared" si="540"/>
        <v>0</v>
      </c>
      <c r="H1148" s="31">
        <f t="shared" si="540"/>
        <v>0</v>
      </c>
      <c r="I1148" s="31">
        <f t="shared" si="540"/>
        <v>0</v>
      </c>
      <c r="J1148" s="31">
        <f t="shared" si="540"/>
        <v>0</v>
      </c>
      <c r="K1148" s="33">
        <f t="shared" si="540"/>
        <v>0</v>
      </c>
      <c r="L1148" s="31">
        <f t="shared" si="540"/>
        <v>0</v>
      </c>
      <c r="M1148" s="31">
        <f t="shared" si="540"/>
        <v>2043.8</v>
      </c>
      <c r="N1148" s="31">
        <f t="shared" si="540"/>
        <v>10100802.800000001</v>
      </c>
      <c r="O1148" s="31">
        <f t="shared" si="540"/>
        <v>0</v>
      </c>
      <c r="P1148" s="31">
        <f t="shared" si="540"/>
        <v>0</v>
      </c>
      <c r="Q1148" s="31">
        <f t="shared" si="540"/>
        <v>0</v>
      </c>
      <c r="R1148" s="31">
        <f t="shared" si="540"/>
        <v>0</v>
      </c>
      <c r="S1148" s="31">
        <f t="shared" si="540"/>
        <v>0</v>
      </c>
      <c r="T1148" s="31">
        <f t="shared" si="540"/>
        <v>0</v>
      </c>
      <c r="U1148" s="31">
        <f t="shared" si="540"/>
        <v>0</v>
      </c>
      <c r="V1148" s="31">
        <f t="shared" si="540"/>
        <v>0</v>
      </c>
      <c r="W1148" s="31">
        <f t="shared" si="540"/>
        <v>0</v>
      </c>
      <c r="X1148" s="31">
        <f t="shared" si="540"/>
        <v>0</v>
      </c>
      <c r="Y1148" s="31">
        <f t="shared" si="540"/>
        <v>0</v>
      </c>
      <c r="Z1148" s="31">
        <f t="shared" si="540"/>
        <v>0</v>
      </c>
      <c r="AA1148" s="31">
        <f t="shared" si="540"/>
        <v>0</v>
      </c>
      <c r="AB1148" s="31">
        <f t="shared" si="540"/>
        <v>0</v>
      </c>
      <c r="AC1148" s="31">
        <f t="shared" si="540"/>
        <v>151512.04</v>
      </c>
      <c r="AD1148" s="31">
        <f t="shared" si="540"/>
        <v>420000</v>
      </c>
      <c r="AE1148" s="31">
        <f t="shared" si="540"/>
        <v>0</v>
      </c>
      <c r="AF1148" s="119" t="s">
        <v>794</v>
      </c>
      <c r="AG1148" s="119" t="s">
        <v>794</v>
      </c>
      <c r="AH1148" s="120" t="s">
        <v>794</v>
      </c>
      <c r="AT1148" s="20" t="e">
        <f t="shared" si="504"/>
        <v>#N/A</v>
      </c>
    </row>
    <row r="1149" spans="1:46" ht="61.5" x14ac:dyDescent="0.85">
      <c r="A1149" s="20">
        <v>1</v>
      </c>
      <c r="B1149" s="66">
        <f>SUBTOTAL(103,$A$929:A1149)</f>
        <v>181</v>
      </c>
      <c r="C1149" s="24" t="s">
        <v>71</v>
      </c>
      <c r="D1149" s="31">
        <f t="shared" ref="D1149:D1153" si="541">E1149+F1149+G1149+H1149+I1149+J1149+L1149+N1149+P1149+R1149+T1149+U1149+V1149+W1149+X1149+Y1149+Z1149+AA1149+AB1149+AC1149+AD1149+AE1149</f>
        <v>2391584.4</v>
      </c>
      <c r="E1149" s="31">
        <v>0</v>
      </c>
      <c r="F1149" s="31">
        <v>0</v>
      </c>
      <c r="G1149" s="31">
        <v>0</v>
      </c>
      <c r="H1149" s="31">
        <v>0</v>
      </c>
      <c r="I1149" s="31">
        <v>0</v>
      </c>
      <c r="J1149" s="31">
        <v>0</v>
      </c>
      <c r="K1149" s="33">
        <v>0</v>
      </c>
      <c r="L1149" s="31">
        <v>0</v>
      </c>
      <c r="M1149" s="31">
        <v>458</v>
      </c>
      <c r="N1149" s="31">
        <v>2238014.19</v>
      </c>
      <c r="O1149" s="31">
        <v>0</v>
      </c>
      <c r="P1149" s="31">
        <v>0</v>
      </c>
      <c r="Q1149" s="31">
        <v>0</v>
      </c>
      <c r="R1149" s="31">
        <v>0</v>
      </c>
      <c r="S1149" s="31">
        <v>0</v>
      </c>
      <c r="T1149" s="31">
        <v>0</v>
      </c>
      <c r="U1149" s="31">
        <v>0</v>
      </c>
      <c r="V1149" s="31">
        <v>0</v>
      </c>
      <c r="W1149" s="31">
        <v>0</v>
      </c>
      <c r="X1149" s="31">
        <v>0</v>
      </c>
      <c r="Y1149" s="31">
        <v>0</v>
      </c>
      <c r="Z1149" s="31">
        <v>0</v>
      </c>
      <c r="AA1149" s="31">
        <v>0</v>
      </c>
      <c r="AB1149" s="31">
        <v>0</v>
      </c>
      <c r="AC1149" s="31">
        <f t="shared" ref="AC1149:AC1151" si="542">ROUND(N1149*1.5%,2)</f>
        <v>33570.21</v>
      </c>
      <c r="AD1149" s="31">
        <v>120000</v>
      </c>
      <c r="AE1149" s="31">
        <v>0</v>
      </c>
      <c r="AF1149" s="34">
        <v>2022</v>
      </c>
      <c r="AG1149" s="34">
        <v>2022</v>
      </c>
      <c r="AH1149" s="35">
        <v>2022</v>
      </c>
      <c r="AT1149" s="20" t="e">
        <f t="shared" si="504"/>
        <v>#N/A</v>
      </c>
    </row>
    <row r="1150" spans="1:46" ht="61.5" x14ac:dyDescent="0.85">
      <c r="A1150" s="20">
        <v>1</v>
      </c>
      <c r="B1150" s="66">
        <f>SUBTOTAL(103,$A$929:A1150)</f>
        <v>182</v>
      </c>
      <c r="C1150" s="24" t="s">
        <v>72</v>
      </c>
      <c r="D1150" s="31">
        <f t="shared" si="541"/>
        <v>4908492</v>
      </c>
      <c r="E1150" s="31">
        <v>0</v>
      </c>
      <c r="F1150" s="31">
        <v>0</v>
      </c>
      <c r="G1150" s="31">
        <v>0</v>
      </c>
      <c r="H1150" s="31">
        <v>0</v>
      </c>
      <c r="I1150" s="31">
        <v>0</v>
      </c>
      <c r="J1150" s="31">
        <v>0</v>
      </c>
      <c r="K1150" s="33">
        <v>0</v>
      </c>
      <c r="L1150" s="31">
        <v>0</v>
      </c>
      <c r="M1150" s="31">
        <v>940</v>
      </c>
      <c r="N1150" s="31">
        <v>4688169.46</v>
      </c>
      <c r="O1150" s="31">
        <v>0</v>
      </c>
      <c r="P1150" s="31">
        <v>0</v>
      </c>
      <c r="Q1150" s="31">
        <v>0</v>
      </c>
      <c r="R1150" s="31">
        <v>0</v>
      </c>
      <c r="S1150" s="31">
        <v>0</v>
      </c>
      <c r="T1150" s="31">
        <v>0</v>
      </c>
      <c r="U1150" s="31">
        <v>0</v>
      </c>
      <c r="V1150" s="31">
        <v>0</v>
      </c>
      <c r="W1150" s="31">
        <v>0</v>
      </c>
      <c r="X1150" s="31">
        <v>0</v>
      </c>
      <c r="Y1150" s="31">
        <v>0</v>
      </c>
      <c r="Z1150" s="31">
        <v>0</v>
      </c>
      <c r="AA1150" s="31">
        <v>0</v>
      </c>
      <c r="AB1150" s="31">
        <v>0</v>
      </c>
      <c r="AC1150" s="31">
        <f t="shared" si="542"/>
        <v>70322.539999999994</v>
      </c>
      <c r="AD1150" s="31">
        <v>150000</v>
      </c>
      <c r="AE1150" s="31">
        <v>0</v>
      </c>
      <c r="AF1150" s="34">
        <v>2022</v>
      </c>
      <c r="AG1150" s="34">
        <v>2022</v>
      </c>
      <c r="AH1150" s="35">
        <v>2022</v>
      </c>
      <c r="AT1150" s="20" t="e">
        <f t="shared" si="504"/>
        <v>#N/A</v>
      </c>
    </row>
    <row r="1151" spans="1:46" ht="61.5" x14ac:dyDescent="0.85">
      <c r="A1151" s="20">
        <v>1</v>
      </c>
      <c r="B1151" s="66">
        <f>SUBTOTAL(103,$A$929:A1151)</f>
        <v>183</v>
      </c>
      <c r="C1151" s="24" t="s">
        <v>73</v>
      </c>
      <c r="D1151" s="31">
        <f t="shared" si="541"/>
        <v>3372238.44</v>
      </c>
      <c r="E1151" s="31">
        <v>0</v>
      </c>
      <c r="F1151" s="31">
        <v>0</v>
      </c>
      <c r="G1151" s="31">
        <v>0</v>
      </c>
      <c r="H1151" s="31">
        <v>0</v>
      </c>
      <c r="I1151" s="31">
        <v>0</v>
      </c>
      <c r="J1151" s="31">
        <v>0</v>
      </c>
      <c r="K1151" s="33">
        <v>0</v>
      </c>
      <c r="L1151" s="31">
        <v>0</v>
      </c>
      <c r="M1151" s="31">
        <v>645.79999999999995</v>
      </c>
      <c r="N1151" s="31">
        <v>3174619.15</v>
      </c>
      <c r="O1151" s="31">
        <v>0</v>
      </c>
      <c r="P1151" s="31">
        <v>0</v>
      </c>
      <c r="Q1151" s="31">
        <v>0</v>
      </c>
      <c r="R1151" s="31">
        <v>0</v>
      </c>
      <c r="S1151" s="31">
        <v>0</v>
      </c>
      <c r="T1151" s="31">
        <v>0</v>
      </c>
      <c r="U1151" s="31">
        <v>0</v>
      </c>
      <c r="V1151" s="31">
        <v>0</v>
      </c>
      <c r="W1151" s="31">
        <v>0</v>
      </c>
      <c r="X1151" s="31">
        <v>0</v>
      </c>
      <c r="Y1151" s="31">
        <v>0</v>
      </c>
      <c r="Z1151" s="31">
        <v>0</v>
      </c>
      <c r="AA1151" s="31">
        <v>0</v>
      </c>
      <c r="AB1151" s="31">
        <v>0</v>
      </c>
      <c r="AC1151" s="31">
        <f t="shared" si="542"/>
        <v>47619.29</v>
      </c>
      <c r="AD1151" s="31">
        <v>150000</v>
      </c>
      <c r="AE1151" s="31">
        <v>0</v>
      </c>
      <c r="AF1151" s="34">
        <v>2022</v>
      </c>
      <c r="AG1151" s="34">
        <v>2022</v>
      </c>
      <c r="AH1151" s="35">
        <v>2022</v>
      </c>
      <c r="AT1151" s="20" t="e">
        <f t="shared" si="504"/>
        <v>#N/A</v>
      </c>
    </row>
    <row r="1152" spans="1:46" ht="61.5" x14ac:dyDescent="0.85">
      <c r="B1152" s="24" t="s">
        <v>885</v>
      </c>
      <c r="C1152" s="24"/>
      <c r="D1152" s="31">
        <f>D1153</f>
        <v>3912770.8299999996</v>
      </c>
      <c r="E1152" s="31">
        <f t="shared" ref="E1152:AE1152" si="543">E1153</f>
        <v>0</v>
      </c>
      <c r="F1152" s="31">
        <f t="shared" si="543"/>
        <v>0</v>
      </c>
      <c r="G1152" s="31">
        <f t="shared" si="543"/>
        <v>0</v>
      </c>
      <c r="H1152" s="31">
        <f t="shared" si="543"/>
        <v>0</v>
      </c>
      <c r="I1152" s="31">
        <f t="shared" si="543"/>
        <v>0</v>
      </c>
      <c r="J1152" s="31">
        <f t="shared" si="543"/>
        <v>0</v>
      </c>
      <c r="K1152" s="33">
        <f t="shared" si="543"/>
        <v>0</v>
      </c>
      <c r="L1152" s="31">
        <f t="shared" si="543"/>
        <v>0</v>
      </c>
      <c r="M1152" s="31">
        <f t="shared" si="543"/>
        <v>1320</v>
      </c>
      <c r="N1152" s="31">
        <f t="shared" si="543"/>
        <v>3736720.03</v>
      </c>
      <c r="O1152" s="31">
        <f t="shared" si="543"/>
        <v>0</v>
      </c>
      <c r="P1152" s="31">
        <f t="shared" si="543"/>
        <v>0</v>
      </c>
      <c r="Q1152" s="31">
        <f t="shared" si="543"/>
        <v>0</v>
      </c>
      <c r="R1152" s="31">
        <f t="shared" si="543"/>
        <v>0</v>
      </c>
      <c r="S1152" s="31">
        <f t="shared" si="543"/>
        <v>0</v>
      </c>
      <c r="T1152" s="31">
        <f t="shared" si="543"/>
        <v>0</v>
      </c>
      <c r="U1152" s="31">
        <f t="shared" si="543"/>
        <v>0</v>
      </c>
      <c r="V1152" s="31">
        <f t="shared" si="543"/>
        <v>0</v>
      </c>
      <c r="W1152" s="31">
        <f t="shared" si="543"/>
        <v>0</v>
      </c>
      <c r="X1152" s="31">
        <f t="shared" si="543"/>
        <v>0</v>
      </c>
      <c r="Y1152" s="31">
        <f t="shared" si="543"/>
        <v>0</v>
      </c>
      <c r="Z1152" s="31">
        <f t="shared" si="543"/>
        <v>0</v>
      </c>
      <c r="AA1152" s="31">
        <f t="shared" si="543"/>
        <v>0</v>
      </c>
      <c r="AB1152" s="31">
        <f t="shared" si="543"/>
        <v>0</v>
      </c>
      <c r="AC1152" s="31">
        <f t="shared" si="543"/>
        <v>56050.8</v>
      </c>
      <c r="AD1152" s="31">
        <f t="shared" si="543"/>
        <v>120000</v>
      </c>
      <c r="AE1152" s="31">
        <f t="shared" si="543"/>
        <v>0</v>
      </c>
      <c r="AF1152" s="119" t="s">
        <v>794</v>
      </c>
      <c r="AG1152" s="119" t="s">
        <v>794</v>
      </c>
      <c r="AH1152" s="120" t="s">
        <v>794</v>
      </c>
      <c r="AT1152" s="20" t="e">
        <f t="shared" si="504"/>
        <v>#N/A</v>
      </c>
    </row>
    <row r="1153" spans="1:46" ht="61.5" x14ac:dyDescent="0.85">
      <c r="A1153" s="20">
        <v>1</v>
      </c>
      <c r="B1153" s="66">
        <f>SUBTOTAL(103,$A$929:A1153)</f>
        <v>184</v>
      </c>
      <c r="C1153" s="24" t="s">
        <v>1663</v>
      </c>
      <c r="D1153" s="31">
        <f t="shared" si="541"/>
        <v>3912770.8299999996</v>
      </c>
      <c r="E1153" s="31">
        <v>0</v>
      </c>
      <c r="F1153" s="31">
        <v>0</v>
      </c>
      <c r="G1153" s="31">
        <v>0</v>
      </c>
      <c r="H1153" s="31">
        <v>0</v>
      </c>
      <c r="I1153" s="31">
        <v>0</v>
      </c>
      <c r="J1153" s="31">
        <v>0</v>
      </c>
      <c r="K1153" s="33">
        <v>0</v>
      </c>
      <c r="L1153" s="31">
        <v>0</v>
      </c>
      <c r="M1153" s="31">
        <v>1320</v>
      </c>
      <c r="N1153" s="31">
        <v>3736720.03</v>
      </c>
      <c r="O1153" s="31">
        <v>0</v>
      </c>
      <c r="P1153" s="31">
        <v>0</v>
      </c>
      <c r="Q1153" s="31">
        <v>0</v>
      </c>
      <c r="R1153" s="31">
        <v>0</v>
      </c>
      <c r="S1153" s="31">
        <v>0</v>
      </c>
      <c r="T1153" s="31">
        <v>0</v>
      </c>
      <c r="U1153" s="31">
        <v>0</v>
      </c>
      <c r="V1153" s="31">
        <v>0</v>
      </c>
      <c r="W1153" s="31">
        <v>0</v>
      </c>
      <c r="X1153" s="31">
        <v>0</v>
      </c>
      <c r="Y1153" s="31">
        <v>0</v>
      </c>
      <c r="Z1153" s="31">
        <v>0</v>
      </c>
      <c r="AA1153" s="31">
        <v>0</v>
      </c>
      <c r="AB1153" s="31">
        <v>0</v>
      </c>
      <c r="AC1153" s="31">
        <f>ROUND(N1153*1.5%,2)</f>
        <v>56050.8</v>
      </c>
      <c r="AD1153" s="31">
        <v>120000</v>
      </c>
      <c r="AE1153" s="31">
        <v>0</v>
      </c>
      <c r="AF1153" s="34">
        <v>2022</v>
      </c>
      <c r="AG1153" s="34">
        <v>2022</v>
      </c>
      <c r="AH1153" s="35">
        <v>2022</v>
      </c>
    </row>
    <row r="1154" spans="1:46" ht="61.5" x14ac:dyDescent="0.85">
      <c r="B1154" s="24" t="s">
        <v>890</v>
      </c>
      <c r="C1154" s="117"/>
      <c r="D1154" s="31">
        <f>D1155</f>
        <v>4804056</v>
      </c>
      <c r="E1154" s="31">
        <f t="shared" ref="E1154:AE1154" si="544">E1155</f>
        <v>0</v>
      </c>
      <c r="F1154" s="31">
        <f t="shared" si="544"/>
        <v>0</v>
      </c>
      <c r="G1154" s="31">
        <f t="shared" si="544"/>
        <v>0</v>
      </c>
      <c r="H1154" s="31">
        <f t="shared" si="544"/>
        <v>0</v>
      </c>
      <c r="I1154" s="31">
        <f t="shared" si="544"/>
        <v>0</v>
      </c>
      <c r="J1154" s="31">
        <f t="shared" si="544"/>
        <v>0</v>
      </c>
      <c r="K1154" s="33">
        <f t="shared" si="544"/>
        <v>0</v>
      </c>
      <c r="L1154" s="31">
        <f t="shared" si="544"/>
        <v>0</v>
      </c>
      <c r="M1154" s="31">
        <f t="shared" si="544"/>
        <v>925</v>
      </c>
      <c r="N1154" s="31">
        <f t="shared" si="544"/>
        <v>4585276.8499999996</v>
      </c>
      <c r="O1154" s="31">
        <f t="shared" si="544"/>
        <v>0</v>
      </c>
      <c r="P1154" s="31">
        <f t="shared" si="544"/>
        <v>0</v>
      </c>
      <c r="Q1154" s="31">
        <f t="shared" si="544"/>
        <v>0</v>
      </c>
      <c r="R1154" s="31">
        <f t="shared" si="544"/>
        <v>0</v>
      </c>
      <c r="S1154" s="31">
        <f t="shared" si="544"/>
        <v>0</v>
      </c>
      <c r="T1154" s="31">
        <f t="shared" si="544"/>
        <v>0</v>
      </c>
      <c r="U1154" s="31">
        <f t="shared" si="544"/>
        <v>0</v>
      </c>
      <c r="V1154" s="31">
        <f t="shared" si="544"/>
        <v>0</v>
      </c>
      <c r="W1154" s="31">
        <f t="shared" si="544"/>
        <v>0</v>
      </c>
      <c r="X1154" s="31">
        <f t="shared" si="544"/>
        <v>0</v>
      </c>
      <c r="Y1154" s="31">
        <f t="shared" si="544"/>
        <v>0</v>
      </c>
      <c r="Z1154" s="31">
        <f t="shared" si="544"/>
        <v>0</v>
      </c>
      <c r="AA1154" s="31">
        <f t="shared" si="544"/>
        <v>0</v>
      </c>
      <c r="AB1154" s="31">
        <f t="shared" si="544"/>
        <v>0</v>
      </c>
      <c r="AC1154" s="31">
        <f t="shared" si="544"/>
        <v>68779.149999999994</v>
      </c>
      <c r="AD1154" s="31">
        <f t="shared" si="544"/>
        <v>150000</v>
      </c>
      <c r="AE1154" s="31">
        <f t="shared" si="544"/>
        <v>0</v>
      </c>
      <c r="AF1154" s="119" t="s">
        <v>794</v>
      </c>
      <c r="AG1154" s="119" t="s">
        <v>794</v>
      </c>
      <c r="AH1154" s="120" t="s">
        <v>794</v>
      </c>
      <c r="AT1154" s="20" t="e">
        <f t="shared" ref="AT1154:AT1171" si="545">VLOOKUP(C1154,AW:AX,2,FALSE)</f>
        <v>#N/A</v>
      </c>
    </row>
    <row r="1155" spans="1:46" ht="61.5" x14ac:dyDescent="0.85">
      <c r="A1155" s="20">
        <v>1</v>
      </c>
      <c r="B1155" s="66">
        <f>SUBTOTAL(103,$A$929:A1155)</f>
        <v>185</v>
      </c>
      <c r="C1155" s="24" t="s">
        <v>231</v>
      </c>
      <c r="D1155" s="31">
        <f t="shared" ref="D1155" si="546">E1155+F1155+G1155+H1155+I1155+J1155+L1155+N1155+P1155+R1155+T1155+U1155+V1155+W1155+X1155+Y1155+Z1155+AA1155+AB1155+AC1155+AD1155+AE1155</f>
        <v>4804056</v>
      </c>
      <c r="E1155" s="31">
        <v>0</v>
      </c>
      <c r="F1155" s="31">
        <v>0</v>
      </c>
      <c r="G1155" s="31">
        <v>0</v>
      </c>
      <c r="H1155" s="31">
        <v>0</v>
      </c>
      <c r="I1155" s="31">
        <v>0</v>
      </c>
      <c r="J1155" s="31">
        <v>0</v>
      </c>
      <c r="K1155" s="33">
        <v>0</v>
      </c>
      <c r="L1155" s="31">
        <v>0</v>
      </c>
      <c r="M1155" s="31">
        <v>925</v>
      </c>
      <c r="N1155" s="31">
        <v>4585276.8499999996</v>
      </c>
      <c r="O1155" s="31">
        <v>0</v>
      </c>
      <c r="P1155" s="31">
        <v>0</v>
      </c>
      <c r="Q1155" s="31">
        <v>0</v>
      </c>
      <c r="R1155" s="31">
        <v>0</v>
      </c>
      <c r="S1155" s="31">
        <v>0</v>
      </c>
      <c r="T1155" s="31">
        <v>0</v>
      </c>
      <c r="U1155" s="31">
        <v>0</v>
      </c>
      <c r="V1155" s="31">
        <v>0</v>
      </c>
      <c r="W1155" s="31">
        <v>0</v>
      </c>
      <c r="X1155" s="31">
        <v>0</v>
      </c>
      <c r="Y1155" s="31">
        <v>0</v>
      </c>
      <c r="Z1155" s="31">
        <v>0</v>
      </c>
      <c r="AA1155" s="31">
        <v>0</v>
      </c>
      <c r="AB1155" s="31">
        <v>0</v>
      </c>
      <c r="AC1155" s="31">
        <f>ROUND(N1155*1.5%,2)</f>
        <v>68779.149999999994</v>
      </c>
      <c r="AD1155" s="31">
        <v>150000</v>
      </c>
      <c r="AE1155" s="31">
        <v>0</v>
      </c>
      <c r="AF1155" s="34">
        <v>2022</v>
      </c>
      <c r="AG1155" s="34">
        <v>2022</v>
      </c>
      <c r="AH1155" s="35">
        <v>2022</v>
      </c>
      <c r="AT1155" s="20" t="e">
        <f t="shared" si="545"/>
        <v>#N/A</v>
      </c>
    </row>
    <row r="1156" spans="1:46" ht="61.5" x14ac:dyDescent="0.85">
      <c r="B1156" s="24" t="s">
        <v>926</v>
      </c>
      <c r="C1156" s="117"/>
      <c r="D1156" s="31">
        <f>D1157</f>
        <v>7284801.9000000004</v>
      </c>
      <c r="E1156" s="31">
        <f t="shared" ref="E1156:AE1156" si="547">E1157</f>
        <v>0</v>
      </c>
      <c r="F1156" s="31">
        <f t="shared" si="547"/>
        <v>0</v>
      </c>
      <c r="G1156" s="31">
        <f t="shared" si="547"/>
        <v>0</v>
      </c>
      <c r="H1156" s="31">
        <f t="shared" si="547"/>
        <v>0</v>
      </c>
      <c r="I1156" s="31">
        <f t="shared" si="547"/>
        <v>0</v>
      </c>
      <c r="J1156" s="31">
        <f t="shared" si="547"/>
        <v>0</v>
      </c>
      <c r="K1156" s="33">
        <f t="shared" si="547"/>
        <v>0</v>
      </c>
      <c r="L1156" s="31">
        <f t="shared" si="547"/>
        <v>0</v>
      </c>
      <c r="M1156" s="31">
        <f t="shared" si="547"/>
        <v>1501.50709241</v>
      </c>
      <c r="N1156" s="31">
        <f t="shared" si="547"/>
        <v>6999804.8300000001</v>
      </c>
      <c r="O1156" s="31">
        <f t="shared" si="547"/>
        <v>0</v>
      </c>
      <c r="P1156" s="31">
        <f t="shared" si="547"/>
        <v>0</v>
      </c>
      <c r="Q1156" s="31">
        <f t="shared" si="547"/>
        <v>0</v>
      </c>
      <c r="R1156" s="31">
        <f t="shared" si="547"/>
        <v>0</v>
      </c>
      <c r="S1156" s="31">
        <f t="shared" si="547"/>
        <v>0</v>
      </c>
      <c r="T1156" s="31">
        <f t="shared" si="547"/>
        <v>0</v>
      </c>
      <c r="U1156" s="31">
        <f t="shared" si="547"/>
        <v>0</v>
      </c>
      <c r="V1156" s="31">
        <f t="shared" si="547"/>
        <v>0</v>
      </c>
      <c r="W1156" s="31">
        <f t="shared" si="547"/>
        <v>0</v>
      </c>
      <c r="X1156" s="31">
        <f t="shared" si="547"/>
        <v>0</v>
      </c>
      <c r="Y1156" s="31">
        <f t="shared" si="547"/>
        <v>0</v>
      </c>
      <c r="Z1156" s="31">
        <f t="shared" si="547"/>
        <v>0</v>
      </c>
      <c r="AA1156" s="31">
        <f t="shared" si="547"/>
        <v>0</v>
      </c>
      <c r="AB1156" s="31">
        <f t="shared" si="547"/>
        <v>0</v>
      </c>
      <c r="AC1156" s="31">
        <f t="shared" si="547"/>
        <v>104997.07</v>
      </c>
      <c r="AD1156" s="31">
        <f t="shared" si="547"/>
        <v>180000</v>
      </c>
      <c r="AE1156" s="31">
        <f t="shared" si="547"/>
        <v>0</v>
      </c>
      <c r="AF1156" s="119" t="s">
        <v>794</v>
      </c>
      <c r="AG1156" s="119" t="s">
        <v>794</v>
      </c>
      <c r="AH1156" s="120" t="s">
        <v>794</v>
      </c>
      <c r="AT1156" s="20" t="e">
        <f t="shared" si="545"/>
        <v>#N/A</v>
      </c>
    </row>
    <row r="1157" spans="1:46" ht="61.5" x14ac:dyDescent="0.85">
      <c r="A1157" s="20">
        <v>1</v>
      </c>
      <c r="B1157" s="66">
        <f>SUBTOTAL(103,$A$929:A1157)</f>
        <v>186</v>
      </c>
      <c r="C1157" s="24" t="s">
        <v>162</v>
      </c>
      <c r="D1157" s="31">
        <f t="shared" ref="D1157" si="548">E1157+F1157+G1157+H1157+I1157+J1157+L1157+N1157+P1157+R1157+T1157+U1157+V1157+W1157+X1157+Y1157+Z1157+AA1157+AB1157+AC1157+AD1157+AE1157</f>
        <v>7284801.9000000004</v>
      </c>
      <c r="E1157" s="31">
        <v>0</v>
      </c>
      <c r="F1157" s="31">
        <v>0</v>
      </c>
      <c r="G1157" s="31">
        <v>0</v>
      </c>
      <c r="H1157" s="31">
        <v>0</v>
      </c>
      <c r="I1157" s="31">
        <v>0</v>
      </c>
      <c r="J1157" s="31">
        <v>0</v>
      </c>
      <c r="K1157" s="33">
        <v>0</v>
      </c>
      <c r="L1157" s="31">
        <v>0</v>
      </c>
      <c r="M1157" s="31">
        <v>1501.50709241</v>
      </c>
      <c r="N1157" s="31">
        <v>6999804.8300000001</v>
      </c>
      <c r="O1157" s="31">
        <v>0</v>
      </c>
      <c r="P1157" s="31">
        <v>0</v>
      </c>
      <c r="Q1157" s="31">
        <v>0</v>
      </c>
      <c r="R1157" s="31">
        <v>0</v>
      </c>
      <c r="S1157" s="31">
        <v>0</v>
      </c>
      <c r="T1157" s="31">
        <v>0</v>
      </c>
      <c r="U1157" s="31">
        <v>0</v>
      </c>
      <c r="V1157" s="31">
        <v>0</v>
      </c>
      <c r="W1157" s="31">
        <v>0</v>
      </c>
      <c r="X1157" s="31">
        <v>0</v>
      </c>
      <c r="Y1157" s="31">
        <v>0</v>
      </c>
      <c r="Z1157" s="31">
        <v>0</v>
      </c>
      <c r="AA1157" s="31">
        <v>0</v>
      </c>
      <c r="AB1157" s="31">
        <v>0</v>
      </c>
      <c r="AC1157" s="31">
        <f>ROUND(N1157*1.5%,2)</f>
        <v>104997.07</v>
      </c>
      <c r="AD1157" s="31">
        <v>180000</v>
      </c>
      <c r="AE1157" s="31">
        <v>0</v>
      </c>
      <c r="AF1157" s="34">
        <v>2022</v>
      </c>
      <c r="AG1157" s="34">
        <v>2022</v>
      </c>
      <c r="AH1157" s="35">
        <v>2022</v>
      </c>
      <c r="AT1157" s="20" t="e">
        <f t="shared" si="545"/>
        <v>#N/A</v>
      </c>
    </row>
    <row r="1158" spans="1:46" ht="61.5" x14ac:dyDescent="0.85">
      <c r="B1158" s="24" t="s">
        <v>921</v>
      </c>
      <c r="C1158" s="24"/>
      <c r="D1158" s="31">
        <f>D1159+D1160</f>
        <v>4011881.02</v>
      </c>
      <c r="E1158" s="31">
        <f t="shared" ref="E1158:AE1158" si="549">E1159+E1160</f>
        <v>0</v>
      </c>
      <c r="F1158" s="31">
        <f t="shared" si="549"/>
        <v>0</v>
      </c>
      <c r="G1158" s="31">
        <f t="shared" si="549"/>
        <v>0</v>
      </c>
      <c r="H1158" s="31">
        <f t="shared" si="549"/>
        <v>0</v>
      </c>
      <c r="I1158" s="31">
        <f t="shared" si="549"/>
        <v>0</v>
      </c>
      <c r="J1158" s="31">
        <f t="shared" si="549"/>
        <v>0</v>
      </c>
      <c r="K1158" s="33">
        <f t="shared" si="549"/>
        <v>0</v>
      </c>
      <c r="L1158" s="31">
        <f t="shared" si="549"/>
        <v>0</v>
      </c>
      <c r="M1158" s="31">
        <f t="shared" si="549"/>
        <v>771.1</v>
      </c>
      <c r="N1158" s="31">
        <f t="shared" si="549"/>
        <v>3479820.61</v>
      </c>
      <c r="O1158" s="31">
        <f t="shared" si="549"/>
        <v>0</v>
      </c>
      <c r="P1158" s="31">
        <f t="shared" si="549"/>
        <v>0</v>
      </c>
      <c r="Q1158" s="31">
        <f t="shared" si="549"/>
        <v>98</v>
      </c>
      <c r="R1158" s="31">
        <f t="shared" si="549"/>
        <v>206761.67</v>
      </c>
      <c r="S1158" s="31">
        <f t="shared" si="549"/>
        <v>0</v>
      </c>
      <c r="T1158" s="31">
        <f t="shared" si="549"/>
        <v>0</v>
      </c>
      <c r="U1158" s="31">
        <f t="shared" si="549"/>
        <v>0</v>
      </c>
      <c r="V1158" s="31">
        <f t="shared" si="549"/>
        <v>0</v>
      </c>
      <c r="W1158" s="31">
        <f t="shared" si="549"/>
        <v>0</v>
      </c>
      <c r="X1158" s="31">
        <f t="shared" si="549"/>
        <v>0</v>
      </c>
      <c r="Y1158" s="31">
        <f t="shared" si="549"/>
        <v>0</v>
      </c>
      <c r="Z1158" s="31">
        <f t="shared" si="549"/>
        <v>0</v>
      </c>
      <c r="AA1158" s="31">
        <f t="shared" si="549"/>
        <v>0</v>
      </c>
      <c r="AB1158" s="31">
        <f t="shared" si="549"/>
        <v>0</v>
      </c>
      <c r="AC1158" s="31">
        <f t="shared" si="549"/>
        <v>55298.74</v>
      </c>
      <c r="AD1158" s="31">
        <f t="shared" si="549"/>
        <v>270000</v>
      </c>
      <c r="AE1158" s="31">
        <f t="shared" si="549"/>
        <v>0</v>
      </c>
      <c r="AF1158" s="119" t="s">
        <v>794</v>
      </c>
      <c r="AG1158" s="119" t="s">
        <v>794</v>
      </c>
      <c r="AH1158" s="120" t="s">
        <v>794</v>
      </c>
      <c r="AT1158" s="20" t="e">
        <f t="shared" si="545"/>
        <v>#N/A</v>
      </c>
    </row>
    <row r="1159" spans="1:46" ht="61.5" x14ac:dyDescent="0.85">
      <c r="A1159" s="20">
        <v>1</v>
      </c>
      <c r="B1159" s="66">
        <f>SUBTOTAL(103,$A$929:A1159)</f>
        <v>187</v>
      </c>
      <c r="C1159" s="24" t="s">
        <v>168</v>
      </c>
      <c r="D1159" s="31">
        <f t="shared" ref="D1159:D1160" si="550">E1159+F1159+G1159+H1159+I1159+J1159+L1159+N1159+P1159+R1159+T1159+U1159+V1159+W1159+X1159+Y1159+Z1159+AA1159+AB1159+AC1159+AD1159+AE1159</f>
        <v>329863.09999999998</v>
      </c>
      <c r="E1159" s="31">
        <v>0</v>
      </c>
      <c r="F1159" s="31">
        <v>0</v>
      </c>
      <c r="G1159" s="31">
        <v>0</v>
      </c>
      <c r="H1159" s="31">
        <v>0</v>
      </c>
      <c r="I1159" s="31">
        <v>0</v>
      </c>
      <c r="J1159" s="31">
        <v>0</v>
      </c>
      <c r="K1159" s="33">
        <v>0</v>
      </c>
      <c r="L1159" s="31">
        <v>0</v>
      </c>
      <c r="M1159" s="31">
        <v>0</v>
      </c>
      <c r="N1159" s="31">
        <v>0</v>
      </c>
      <c r="O1159" s="31">
        <v>0</v>
      </c>
      <c r="P1159" s="31">
        <v>0</v>
      </c>
      <c r="Q1159" s="31">
        <v>98</v>
      </c>
      <c r="R1159" s="31">
        <v>206761.67</v>
      </c>
      <c r="S1159" s="31">
        <v>0</v>
      </c>
      <c r="T1159" s="31">
        <v>0</v>
      </c>
      <c r="U1159" s="31">
        <v>0</v>
      </c>
      <c r="V1159" s="31">
        <v>0</v>
      </c>
      <c r="W1159" s="31">
        <v>0</v>
      </c>
      <c r="X1159" s="31">
        <v>0</v>
      </c>
      <c r="Y1159" s="31">
        <v>0</v>
      </c>
      <c r="Z1159" s="31">
        <v>0</v>
      </c>
      <c r="AA1159" s="31">
        <v>0</v>
      </c>
      <c r="AB1159" s="31">
        <v>0</v>
      </c>
      <c r="AC1159" s="31">
        <f t="shared" ref="AC1159" si="551">ROUND(R1159*1.5%,2)</f>
        <v>3101.43</v>
      </c>
      <c r="AD1159" s="31">
        <v>120000</v>
      </c>
      <c r="AE1159" s="31">
        <v>0</v>
      </c>
      <c r="AF1159" s="34">
        <v>2022</v>
      </c>
      <c r="AG1159" s="34">
        <v>2022</v>
      </c>
      <c r="AH1159" s="35">
        <v>2022</v>
      </c>
      <c r="AT1159" s="20" t="e">
        <f t="shared" si="545"/>
        <v>#N/A</v>
      </c>
    </row>
    <row r="1160" spans="1:46" ht="61.5" x14ac:dyDescent="0.85">
      <c r="A1160" s="20">
        <v>1</v>
      </c>
      <c r="B1160" s="66">
        <f>SUBTOTAL(103,$A$929:A1160)</f>
        <v>188</v>
      </c>
      <c r="C1160" s="24" t="s">
        <v>169</v>
      </c>
      <c r="D1160" s="31">
        <f t="shared" si="550"/>
        <v>3682017.92</v>
      </c>
      <c r="E1160" s="31">
        <v>0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3">
        <v>0</v>
      </c>
      <c r="L1160" s="31">
        <v>0</v>
      </c>
      <c r="M1160" s="31">
        <v>771.1</v>
      </c>
      <c r="N1160" s="31">
        <v>3479820.61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  <c r="V1160" s="31">
        <v>0</v>
      </c>
      <c r="W1160" s="31">
        <v>0</v>
      </c>
      <c r="X1160" s="31">
        <v>0</v>
      </c>
      <c r="Y1160" s="31">
        <v>0</v>
      </c>
      <c r="Z1160" s="31">
        <v>0</v>
      </c>
      <c r="AA1160" s="31">
        <v>0</v>
      </c>
      <c r="AB1160" s="31">
        <v>0</v>
      </c>
      <c r="AC1160" s="31">
        <f>ROUND(N1160*1.5%,2)</f>
        <v>52197.31</v>
      </c>
      <c r="AD1160" s="31">
        <v>150000</v>
      </c>
      <c r="AE1160" s="31">
        <v>0</v>
      </c>
      <c r="AF1160" s="34">
        <v>2022</v>
      </c>
      <c r="AG1160" s="34">
        <v>2022</v>
      </c>
      <c r="AH1160" s="35">
        <v>2022</v>
      </c>
      <c r="AT1160" s="20" t="e">
        <f t="shared" si="545"/>
        <v>#N/A</v>
      </c>
    </row>
    <row r="1161" spans="1:46" ht="61.5" x14ac:dyDescent="0.85">
      <c r="B1161" s="24" t="s">
        <v>894</v>
      </c>
      <c r="C1161" s="24"/>
      <c r="D1161" s="31">
        <f>D1162+D1163</f>
        <v>6026117.5699999994</v>
      </c>
      <c r="E1161" s="31">
        <f t="shared" ref="E1161:AE1161" si="552">E1162+E1163</f>
        <v>0</v>
      </c>
      <c r="F1161" s="31">
        <f t="shared" si="552"/>
        <v>0</v>
      </c>
      <c r="G1161" s="31">
        <f t="shared" si="552"/>
        <v>0</v>
      </c>
      <c r="H1161" s="31">
        <f t="shared" si="552"/>
        <v>0</v>
      </c>
      <c r="I1161" s="31">
        <f t="shared" si="552"/>
        <v>0</v>
      </c>
      <c r="J1161" s="31">
        <f t="shared" si="552"/>
        <v>0</v>
      </c>
      <c r="K1161" s="33">
        <f t="shared" si="552"/>
        <v>0</v>
      </c>
      <c r="L1161" s="31">
        <f t="shared" si="552"/>
        <v>0</v>
      </c>
      <c r="M1161" s="31">
        <f t="shared" si="552"/>
        <v>1191.9585999999999</v>
      </c>
      <c r="N1161" s="31">
        <f t="shared" si="552"/>
        <v>5671051.7999999998</v>
      </c>
      <c r="O1161" s="31">
        <f t="shared" si="552"/>
        <v>0</v>
      </c>
      <c r="P1161" s="31">
        <f t="shared" si="552"/>
        <v>0</v>
      </c>
      <c r="Q1161" s="31">
        <f t="shared" si="552"/>
        <v>0</v>
      </c>
      <c r="R1161" s="31">
        <f t="shared" si="552"/>
        <v>0</v>
      </c>
      <c r="S1161" s="31">
        <f t="shared" si="552"/>
        <v>0</v>
      </c>
      <c r="T1161" s="31">
        <f t="shared" si="552"/>
        <v>0</v>
      </c>
      <c r="U1161" s="31">
        <f t="shared" si="552"/>
        <v>0</v>
      </c>
      <c r="V1161" s="31">
        <f t="shared" si="552"/>
        <v>0</v>
      </c>
      <c r="W1161" s="31">
        <f t="shared" si="552"/>
        <v>0</v>
      </c>
      <c r="X1161" s="31">
        <f t="shared" si="552"/>
        <v>0</v>
      </c>
      <c r="Y1161" s="31">
        <f t="shared" si="552"/>
        <v>0</v>
      </c>
      <c r="Z1161" s="31">
        <f t="shared" si="552"/>
        <v>0</v>
      </c>
      <c r="AA1161" s="31">
        <f t="shared" si="552"/>
        <v>0</v>
      </c>
      <c r="AB1161" s="31">
        <f t="shared" si="552"/>
        <v>0</v>
      </c>
      <c r="AC1161" s="31">
        <f t="shared" si="552"/>
        <v>85065.77</v>
      </c>
      <c r="AD1161" s="31">
        <f t="shared" si="552"/>
        <v>270000</v>
      </c>
      <c r="AE1161" s="31">
        <f t="shared" si="552"/>
        <v>0</v>
      </c>
      <c r="AF1161" s="119" t="s">
        <v>794</v>
      </c>
      <c r="AG1161" s="119" t="s">
        <v>794</v>
      </c>
      <c r="AH1161" s="120" t="s">
        <v>794</v>
      </c>
      <c r="AT1161" s="20" t="e">
        <f t="shared" si="545"/>
        <v>#N/A</v>
      </c>
    </row>
    <row r="1162" spans="1:46" ht="61.5" x14ac:dyDescent="0.85">
      <c r="A1162" s="20">
        <v>1</v>
      </c>
      <c r="B1162" s="66">
        <f>SUBTOTAL(103,$A$929:A1162)</f>
        <v>189</v>
      </c>
      <c r="C1162" s="24" t="s">
        <v>167</v>
      </c>
      <c r="D1162" s="31">
        <f t="shared" ref="D1162:D1163" si="553">E1162+F1162+G1162+H1162+I1162+J1162+L1162+N1162+P1162+R1162+T1162+U1162+V1162+W1162+X1162+Y1162+Z1162+AA1162+AB1162+AC1162+AD1162+AE1162</f>
        <v>4388776.2699999996</v>
      </c>
      <c r="E1162" s="31">
        <v>0</v>
      </c>
      <c r="F1162" s="31">
        <v>0</v>
      </c>
      <c r="G1162" s="31">
        <v>0</v>
      </c>
      <c r="H1162" s="31">
        <v>0</v>
      </c>
      <c r="I1162" s="31">
        <v>0</v>
      </c>
      <c r="J1162" s="31">
        <v>0</v>
      </c>
      <c r="K1162" s="33">
        <v>0</v>
      </c>
      <c r="L1162" s="31">
        <v>0</v>
      </c>
      <c r="M1162" s="31">
        <v>878.4</v>
      </c>
      <c r="N1162" s="31">
        <v>4176134.26</v>
      </c>
      <c r="O1162" s="31">
        <v>0</v>
      </c>
      <c r="P1162" s="31">
        <v>0</v>
      </c>
      <c r="Q1162" s="31">
        <v>0</v>
      </c>
      <c r="R1162" s="31">
        <v>0</v>
      </c>
      <c r="S1162" s="31">
        <v>0</v>
      </c>
      <c r="T1162" s="31">
        <v>0</v>
      </c>
      <c r="U1162" s="31">
        <v>0</v>
      </c>
      <c r="V1162" s="31">
        <v>0</v>
      </c>
      <c r="W1162" s="31">
        <v>0</v>
      </c>
      <c r="X1162" s="31">
        <v>0</v>
      </c>
      <c r="Y1162" s="31">
        <v>0</v>
      </c>
      <c r="Z1162" s="31">
        <v>0</v>
      </c>
      <c r="AA1162" s="31">
        <v>0</v>
      </c>
      <c r="AB1162" s="31">
        <v>0</v>
      </c>
      <c r="AC1162" s="31">
        <f t="shared" ref="AC1162:AC1163" si="554">ROUND(N1162*1.5%,2)</f>
        <v>62642.01</v>
      </c>
      <c r="AD1162" s="31">
        <v>150000</v>
      </c>
      <c r="AE1162" s="31">
        <v>0</v>
      </c>
      <c r="AF1162" s="34">
        <v>2022</v>
      </c>
      <c r="AG1162" s="34">
        <v>2022</v>
      </c>
      <c r="AH1162" s="35">
        <v>2022</v>
      </c>
      <c r="AT1162" s="20" t="e">
        <f t="shared" si="545"/>
        <v>#N/A</v>
      </c>
    </row>
    <row r="1163" spans="1:46" ht="61.5" x14ac:dyDescent="0.85">
      <c r="A1163" s="20">
        <v>1</v>
      </c>
      <c r="B1163" s="66">
        <f>SUBTOTAL(103,$A$929:A1163)</f>
        <v>190</v>
      </c>
      <c r="C1163" s="24" t="s">
        <v>166</v>
      </c>
      <c r="D1163" s="31">
        <f t="shared" si="553"/>
        <v>1637341.3</v>
      </c>
      <c r="E1163" s="31">
        <v>0</v>
      </c>
      <c r="F1163" s="31">
        <v>0</v>
      </c>
      <c r="G1163" s="31">
        <v>0</v>
      </c>
      <c r="H1163" s="31">
        <v>0</v>
      </c>
      <c r="I1163" s="31">
        <v>0</v>
      </c>
      <c r="J1163" s="31">
        <v>0</v>
      </c>
      <c r="K1163" s="33">
        <v>0</v>
      </c>
      <c r="L1163" s="31">
        <v>0</v>
      </c>
      <c r="M1163" s="31">
        <v>313.55860000000001</v>
      </c>
      <c r="N1163" s="31">
        <v>1494917.54</v>
      </c>
      <c r="O1163" s="31">
        <v>0</v>
      </c>
      <c r="P1163" s="31">
        <v>0</v>
      </c>
      <c r="Q1163" s="31">
        <v>0</v>
      </c>
      <c r="R1163" s="31">
        <v>0</v>
      </c>
      <c r="S1163" s="31">
        <v>0</v>
      </c>
      <c r="T1163" s="31">
        <v>0</v>
      </c>
      <c r="U1163" s="31">
        <v>0</v>
      </c>
      <c r="V1163" s="31">
        <v>0</v>
      </c>
      <c r="W1163" s="31">
        <v>0</v>
      </c>
      <c r="X1163" s="31">
        <v>0</v>
      </c>
      <c r="Y1163" s="31">
        <v>0</v>
      </c>
      <c r="Z1163" s="31">
        <v>0</v>
      </c>
      <c r="AA1163" s="31">
        <v>0</v>
      </c>
      <c r="AB1163" s="31">
        <v>0</v>
      </c>
      <c r="AC1163" s="31">
        <f t="shared" si="554"/>
        <v>22423.759999999998</v>
      </c>
      <c r="AD1163" s="31">
        <v>120000</v>
      </c>
      <c r="AE1163" s="31">
        <v>0</v>
      </c>
      <c r="AF1163" s="34">
        <v>2022</v>
      </c>
      <c r="AG1163" s="34">
        <v>2022</v>
      </c>
      <c r="AH1163" s="35">
        <v>2022</v>
      </c>
      <c r="AT1163" s="20" t="e">
        <f t="shared" si="545"/>
        <v>#N/A</v>
      </c>
    </row>
    <row r="1164" spans="1:46" ht="61.5" x14ac:dyDescent="0.85">
      <c r="B1164" s="24" t="s">
        <v>895</v>
      </c>
      <c r="C1164" s="24"/>
      <c r="D1164" s="31">
        <f>SUM(D1165:D1167)</f>
        <v>12459674.15</v>
      </c>
      <c r="E1164" s="31">
        <f t="shared" ref="E1164:AE1164" si="555">SUM(E1165:E1167)</f>
        <v>0</v>
      </c>
      <c r="F1164" s="31">
        <f t="shared" si="555"/>
        <v>0</v>
      </c>
      <c r="G1164" s="31">
        <f t="shared" si="555"/>
        <v>0</v>
      </c>
      <c r="H1164" s="31">
        <f t="shared" si="555"/>
        <v>0</v>
      </c>
      <c r="I1164" s="31">
        <f t="shared" si="555"/>
        <v>0</v>
      </c>
      <c r="J1164" s="31">
        <f t="shared" si="555"/>
        <v>0</v>
      </c>
      <c r="K1164" s="33">
        <f t="shared" si="555"/>
        <v>0</v>
      </c>
      <c r="L1164" s="31">
        <f t="shared" si="555"/>
        <v>0</v>
      </c>
      <c r="M1164" s="31">
        <f t="shared" si="555"/>
        <v>2891.3100000000004</v>
      </c>
      <c r="N1164" s="31">
        <f t="shared" si="555"/>
        <v>11802634.630000001</v>
      </c>
      <c r="O1164" s="31">
        <f t="shared" si="555"/>
        <v>0</v>
      </c>
      <c r="P1164" s="31">
        <f t="shared" si="555"/>
        <v>0</v>
      </c>
      <c r="Q1164" s="31">
        <f t="shared" si="555"/>
        <v>0</v>
      </c>
      <c r="R1164" s="31">
        <f t="shared" si="555"/>
        <v>0</v>
      </c>
      <c r="S1164" s="31">
        <f t="shared" si="555"/>
        <v>0</v>
      </c>
      <c r="T1164" s="31">
        <f t="shared" si="555"/>
        <v>0</v>
      </c>
      <c r="U1164" s="31">
        <f t="shared" si="555"/>
        <v>0</v>
      </c>
      <c r="V1164" s="31">
        <f t="shared" si="555"/>
        <v>0</v>
      </c>
      <c r="W1164" s="31">
        <f t="shared" si="555"/>
        <v>0</v>
      </c>
      <c r="X1164" s="31">
        <f t="shared" si="555"/>
        <v>0</v>
      </c>
      <c r="Y1164" s="31">
        <f t="shared" si="555"/>
        <v>0</v>
      </c>
      <c r="Z1164" s="31">
        <f t="shared" si="555"/>
        <v>0</v>
      </c>
      <c r="AA1164" s="31">
        <f t="shared" si="555"/>
        <v>0</v>
      </c>
      <c r="AB1164" s="31">
        <f t="shared" si="555"/>
        <v>0</v>
      </c>
      <c r="AC1164" s="31">
        <f t="shared" si="555"/>
        <v>177039.52000000002</v>
      </c>
      <c r="AD1164" s="31">
        <f t="shared" si="555"/>
        <v>480000</v>
      </c>
      <c r="AE1164" s="31">
        <f t="shared" si="555"/>
        <v>0</v>
      </c>
      <c r="AF1164" s="119" t="s">
        <v>794</v>
      </c>
      <c r="AG1164" s="119" t="s">
        <v>794</v>
      </c>
      <c r="AH1164" s="120" t="s">
        <v>794</v>
      </c>
      <c r="AT1164" s="20" t="e">
        <f t="shared" si="545"/>
        <v>#N/A</v>
      </c>
    </row>
    <row r="1165" spans="1:46" ht="61.5" x14ac:dyDescent="0.85">
      <c r="A1165" s="20">
        <v>1</v>
      </c>
      <c r="B1165" s="66">
        <f>SUBTOTAL(103,$A$929:A1165)</f>
        <v>191</v>
      </c>
      <c r="C1165" s="24" t="s">
        <v>163</v>
      </c>
      <c r="D1165" s="31">
        <f t="shared" ref="D1165:D1167" si="556">E1165+F1165+G1165+H1165+I1165+J1165+L1165+N1165+P1165+R1165+T1165+U1165+V1165+W1165+X1165+Y1165+Z1165+AA1165+AB1165+AC1165+AD1165+AE1165</f>
        <v>5095413.53</v>
      </c>
      <c r="E1165" s="31">
        <v>0</v>
      </c>
      <c r="F1165" s="31">
        <v>0</v>
      </c>
      <c r="G1165" s="31">
        <v>0</v>
      </c>
      <c r="H1165" s="31">
        <v>0</v>
      </c>
      <c r="I1165" s="31">
        <v>0</v>
      </c>
      <c r="J1165" s="31">
        <v>0</v>
      </c>
      <c r="K1165" s="33">
        <v>0</v>
      </c>
      <c r="L1165" s="31">
        <v>0</v>
      </c>
      <c r="M1165" s="31">
        <v>1276.79</v>
      </c>
      <c r="N1165" s="31">
        <v>4842771.95</v>
      </c>
      <c r="O1165" s="31">
        <v>0</v>
      </c>
      <c r="P1165" s="31">
        <v>0</v>
      </c>
      <c r="Q1165" s="31">
        <v>0</v>
      </c>
      <c r="R1165" s="31">
        <v>0</v>
      </c>
      <c r="S1165" s="31">
        <v>0</v>
      </c>
      <c r="T1165" s="31">
        <v>0</v>
      </c>
      <c r="U1165" s="31">
        <v>0</v>
      </c>
      <c r="V1165" s="31">
        <v>0</v>
      </c>
      <c r="W1165" s="31">
        <v>0</v>
      </c>
      <c r="X1165" s="31">
        <v>0</v>
      </c>
      <c r="Y1165" s="31">
        <v>0</v>
      </c>
      <c r="Z1165" s="31">
        <v>0</v>
      </c>
      <c r="AA1165" s="31">
        <v>0</v>
      </c>
      <c r="AB1165" s="31">
        <v>0</v>
      </c>
      <c r="AC1165" s="31">
        <f t="shared" ref="AC1165:AC1167" si="557">ROUND(N1165*1.5%,2)</f>
        <v>72641.58</v>
      </c>
      <c r="AD1165" s="31">
        <v>180000</v>
      </c>
      <c r="AE1165" s="31">
        <v>0</v>
      </c>
      <c r="AF1165" s="34">
        <v>2022</v>
      </c>
      <c r="AG1165" s="34">
        <v>2022</v>
      </c>
      <c r="AH1165" s="35">
        <v>2022</v>
      </c>
      <c r="AT1165" s="20" t="e">
        <f t="shared" si="545"/>
        <v>#N/A</v>
      </c>
    </row>
    <row r="1166" spans="1:46" ht="61.5" x14ac:dyDescent="0.85">
      <c r="A1166" s="20">
        <v>1</v>
      </c>
      <c r="B1166" s="66">
        <f>SUBTOTAL(103,$A$929:A1166)</f>
        <v>192</v>
      </c>
      <c r="C1166" s="24" t="s">
        <v>164</v>
      </c>
      <c r="D1166" s="31">
        <f t="shared" si="556"/>
        <v>3457309.86</v>
      </c>
      <c r="E1166" s="31">
        <v>0</v>
      </c>
      <c r="F1166" s="31">
        <v>0</v>
      </c>
      <c r="G1166" s="31">
        <v>0</v>
      </c>
      <c r="H1166" s="31">
        <v>0</v>
      </c>
      <c r="I1166" s="31">
        <v>0</v>
      </c>
      <c r="J1166" s="31">
        <v>0</v>
      </c>
      <c r="K1166" s="33">
        <v>0</v>
      </c>
      <c r="L1166" s="31">
        <v>0</v>
      </c>
      <c r="M1166" s="31">
        <v>866.32</v>
      </c>
      <c r="N1166" s="31">
        <v>3258433.36</v>
      </c>
      <c r="O1166" s="31">
        <v>0</v>
      </c>
      <c r="P1166" s="31">
        <v>0</v>
      </c>
      <c r="Q1166" s="31">
        <v>0</v>
      </c>
      <c r="R1166" s="31">
        <v>0</v>
      </c>
      <c r="S1166" s="31">
        <v>0</v>
      </c>
      <c r="T1166" s="31">
        <v>0</v>
      </c>
      <c r="U1166" s="31">
        <v>0</v>
      </c>
      <c r="V1166" s="31">
        <v>0</v>
      </c>
      <c r="W1166" s="31">
        <v>0</v>
      </c>
      <c r="X1166" s="31">
        <v>0</v>
      </c>
      <c r="Y1166" s="31">
        <v>0</v>
      </c>
      <c r="Z1166" s="31">
        <v>0</v>
      </c>
      <c r="AA1166" s="31">
        <v>0</v>
      </c>
      <c r="AB1166" s="31">
        <v>0</v>
      </c>
      <c r="AC1166" s="31">
        <f t="shared" si="557"/>
        <v>48876.5</v>
      </c>
      <c r="AD1166" s="31">
        <v>150000</v>
      </c>
      <c r="AE1166" s="31">
        <v>0</v>
      </c>
      <c r="AF1166" s="34">
        <v>2022</v>
      </c>
      <c r="AG1166" s="34">
        <v>2022</v>
      </c>
      <c r="AH1166" s="35">
        <v>2022</v>
      </c>
      <c r="AT1166" s="20" t="e">
        <f t="shared" si="545"/>
        <v>#N/A</v>
      </c>
    </row>
    <row r="1167" spans="1:46" ht="61.5" x14ac:dyDescent="0.85">
      <c r="A1167" s="20">
        <v>1</v>
      </c>
      <c r="B1167" s="66">
        <f>SUBTOTAL(103,$A$929:A1167)</f>
        <v>193</v>
      </c>
      <c r="C1167" s="24" t="s">
        <v>165</v>
      </c>
      <c r="D1167" s="31">
        <f t="shared" si="556"/>
        <v>3906950.76</v>
      </c>
      <c r="E1167" s="31">
        <v>0</v>
      </c>
      <c r="F1167" s="31">
        <v>0</v>
      </c>
      <c r="G1167" s="31">
        <v>0</v>
      </c>
      <c r="H1167" s="31">
        <v>0</v>
      </c>
      <c r="I1167" s="31">
        <v>0</v>
      </c>
      <c r="J1167" s="31">
        <v>0</v>
      </c>
      <c r="K1167" s="33">
        <v>0</v>
      </c>
      <c r="L1167" s="31">
        <v>0</v>
      </c>
      <c r="M1167" s="31">
        <v>748.2</v>
      </c>
      <c r="N1167" s="31">
        <v>3701429.32</v>
      </c>
      <c r="O1167" s="31">
        <v>0</v>
      </c>
      <c r="P1167" s="31">
        <v>0</v>
      </c>
      <c r="Q1167" s="31">
        <v>0</v>
      </c>
      <c r="R1167" s="31">
        <v>0</v>
      </c>
      <c r="S1167" s="31">
        <v>0</v>
      </c>
      <c r="T1167" s="31">
        <v>0</v>
      </c>
      <c r="U1167" s="31">
        <v>0</v>
      </c>
      <c r="V1167" s="31">
        <v>0</v>
      </c>
      <c r="W1167" s="31">
        <v>0</v>
      </c>
      <c r="X1167" s="31">
        <v>0</v>
      </c>
      <c r="Y1167" s="31">
        <v>0</v>
      </c>
      <c r="Z1167" s="31">
        <v>0</v>
      </c>
      <c r="AA1167" s="31">
        <v>0</v>
      </c>
      <c r="AB1167" s="31">
        <v>0</v>
      </c>
      <c r="AC1167" s="31">
        <f t="shared" si="557"/>
        <v>55521.440000000002</v>
      </c>
      <c r="AD1167" s="31">
        <v>150000</v>
      </c>
      <c r="AE1167" s="31">
        <v>0</v>
      </c>
      <c r="AF1167" s="34">
        <v>2022</v>
      </c>
      <c r="AG1167" s="34">
        <v>2022</v>
      </c>
      <c r="AH1167" s="35">
        <v>2022</v>
      </c>
      <c r="AT1167" s="20" t="e">
        <f t="shared" si="545"/>
        <v>#N/A</v>
      </c>
    </row>
    <row r="1168" spans="1:46" ht="61.5" x14ac:dyDescent="0.85">
      <c r="B1168" s="24" t="s">
        <v>896</v>
      </c>
      <c r="C1168" s="24"/>
      <c r="D1168" s="31">
        <f t="shared" ref="D1168:AE1168" si="558">SUM(D1169:D1172)</f>
        <v>11707868.220000001</v>
      </c>
      <c r="E1168" s="31">
        <f t="shared" si="558"/>
        <v>0</v>
      </c>
      <c r="F1168" s="31">
        <f t="shared" si="558"/>
        <v>0</v>
      </c>
      <c r="G1168" s="31">
        <f t="shared" si="558"/>
        <v>0</v>
      </c>
      <c r="H1168" s="31">
        <f t="shared" si="558"/>
        <v>0</v>
      </c>
      <c r="I1168" s="31">
        <f t="shared" si="558"/>
        <v>1819969.95</v>
      </c>
      <c r="J1168" s="31">
        <f t="shared" si="558"/>
        <v>0</v>
      </c>
      <c r="K1168" s="33">
        <f t="shared" si="558"/>
        <v>0</v>
      </c>
      <c r="L1168" s="31">
        <f t="shared" si="558"/>
        <v>0</v>
      </c>
      <c r="M1168" s="31">
        <f t="shared" si="558"/>
        <v>1736.79</v>
      </c>
      <c r="N1168" s="31">
        <f t="shared" si="558"/>
        <v>8639576.379999999</v>
      </c>
      <c r="O1168" s="31">
        <f t="shared" si="558"/>
        <v>146</v>
      </c>
      <c r="P1168" s="31">
        <f t="shared" si="558"/>
        <v>365939.61</v>
      </c>
      <c r="Q1168" s="31">
        <f t="shared" si="558"/>
        <v>0</v>
      </c>
      <c r="R1168" s="31">
        <f t="shared" si="558"/>
        <v>0</v>
      </c>
      <c r="S1168" s="31">
        <f t="shared" si="558"/>
        <v>0</v>
      </c>
      <c r="T1168" s="31">
        <f t="shared" si="558"/>
        <v>0</v>
      </c>
      <c r="U1168" s="31">
        <f t="shared" si="558"/>
        <v>0</v>
      </c>
      <c r="V1168" s="31">
        <f t="shared" si="558"/>
        <v>0</v>
      </c>
      <c r="W1168" s="31">
        <f t="shared" si="558"/>
        <v>0</v>
      </c>
      <c r="X1168" s="31">
        <f t="shared" si="558"/>
        <v>0</v>
      </c>
      <c r="Y1168" s="31">
        <f t="shared" si="558"/>
        <v>0</v>
      </c>
      <c r="Z1168" s="31">
        <f t="shared" si="558"/>
        <v>0</v>
      </c>
      <c r="AA1168" s="31">
        <f t="shared" si="558"/>
        <v>0</v>
      </c>
      <c r="AB1168" s="31">
        <f t="shared" si="558"/>
        <v>0</v>
      </c>
      <c r="AC1168" s="31">
        <f t="shared" si="558"/>
        <v>162382.28</v>
      </c>
      <c r="AD1168" s="31">
        <f t="shared" si="558"/>
        <v>720000</v>
      </c>
      <c r="AE1168" s="31">
        <f t="shared" si="558"/>
        <v>0</v>
      </c>
      <c r="AF1168" s="119" t="s">
        <v>794</v>
      </c>
      <c r="AG1168" s="119" t="s">
        <v>794</v>
      </c>
      <c r="AH1168" s="120" t="s">
        <v>794</v>
      </c>
      <c r="AT1168" s="20" t="e">
        <f t="shared" si="545"/>
        <v>#N/A</v>
      </c>
    </row>
    <row r="1169" spans="1:46" ht="61.5" x14ac:dyDescent="0.85">
      <c r="A1169" s="20">
        <v>1</v>
      </c>
      <c r="B1169" s="66">
        <f>SUBTOTAL(103,$A$929:A1169)</f>
        <v>194</v>
      </c>
      <c r="C1169" s="24" t="s">
        <v>158</v>
      </c>
      <c r="D1169" s="31">
        <f t="shared" ref="D1169:D1172" si="559">E1169+F1169+G1169+H1169+I1169+J1169+L1169+N1169+P1169+R1169+T1169+U1169+V1169+W1169+X1169+Y1169+Z1169+AA1169+AB1169+AC1169+AD1169+AE1169</f>
        <v>2147269.5</v>
      </c>
      <c r="E1169" s="31">
        <v>0</v>
      </c>
      <c r="F1169" s="31">
        <v>0</v>
      </c>
      <c r="G1169" s="31">
        <v>0</v>
      </c>
      <c r="H1169" s="31">
        <v>0</v>
      </c>
      <c r="I1169" s="31">
        <v>1819969.95</v>
      </c>
      <c r="J1169" s="31">
        <v>0</v>
      </c>
      <c r="K1169" s="88">
        <v>0</v>
      </c>
      <c r="L1169" s="31">
        <v>0</v>
      </c>
      <c r="M1169" s="31">
        <v>0</v>
      </c>
      <c r="N1169" s="31">
        <v>0</v>
      </c>
      <c r="O1169" s="31">
        <v>0</v>
      </c>
      <c r="P1169" s="31">
        <v>0</v>
      </c>
      <c r="Q1169" s="31">
        <v>0</v>
      </c>
      <c r="R1169" s="31">
        <v>0</v>
      </c>
      <c r="S1169" s="31">
        <v>0</v>
      </c>
      <c r="T1169" s="31">
        <v>0</v>
      </c>
      <c r="U1169" s="31">
        <v>0</v>
      </c>
      <c r="V1169" s="31">
        <v>0</v>
      </c>
      <c r="W1169" s="31">
        <v>0</v>
      </c>
      <c r="X1169" s="31">
        <v>0</v>
      </c>
      <c r="Y1169" s="31">
        <v>0</v>
      </c>
      <c r="Z1169" s="31">
        <v>0</v>
      </c>
      <c r="AA1169" s="31">
        <v>0</v>
      </c>
      <c r="AB1169" s="31">
        <v>0</v>
      </c>
      <c r="AC1169" s="31">
        <v>27299.55</v>
      </c>
      <c r="AD1169" s="31">
        <v>300000</v>
      </c>
      <c r="AE1169" s="31">
        <v>0</v>
      </c>
      <c r="AF1169" s="34">
        <v>2022</v>
      </c>
      <c r="AG1169" s="34">
        <v>2022</v>
      </c>
      <c r="AH1169" s="35">
        <v>2022</v>
      </c>
      <c r="AT1169" s="20" t="e">
        <f t="shared" si="545"/>
        <v>#N/A</v>
      </c>
    </row>
    <row r="1170" spans="1:46" ht="61.5" x14ac:dyDescent="0.85">
      <c r="A1170" s="20">
        <v>1</v>
      </c>
      <c r="B1170" s="66">
        <f>SUBTOTAL(103,$A$929:A1170)</f>
        <v>195</v>
      </c>
      <c r="C1170" s="24" t="s">
        <v>159</v>
      </c>
      <c r="D1170" s="31">
        <f t="shared" si="559"/>
        <v>491428.7</v>
      </c>
      <c r="E1170" s="31">
        <v>0</v>
      </c>
      <c r="F1170" s="31">
        <v>0</v>
      </c>
      <c r="G1170" s="31">
        <v>0</v>
      </c>
      <c r="H1170" s="31">
        <v>0</v>
      </c>
      <c r="I1170" s="31">
        <v>0</v>
      </c>
      <c r="J1170" s="31">
        <v>0</v>
      </c>
      <c r="K1170" s="33">
        <v>0</v>
      </c>
      <c r="L1170" s="31">
        <v>0</v>
      </c>
      <c r="M1170" s="31">
        <v>0</v>
      </c>
      <c r="N1170" s="31">
        <v>0</v>
      </c>
      <c r="O1170" s="31">
        <v>146</v>
      </c>
      <c r="P1170" s="31">
        <v>365939.61</v>
      </c>
      <c r="Q1170" s="31">
        <v>0</v>
      </c>
      <c r="R1170" s="31">
        <v>0</v>
      </c>
      <c r="S1170" s="31">
        <v>0</v>
      </c>
      <c r="T1170" s="31">
        <v>0</v>
      </c>
      <c r="U1170" s="31">
        <v>0</v>
      </c>
      <c r="V1170" s="31">
        <v>0</v>
      </c>
      <c r="W1170" s="31">
        <v>0</v>
      </c>
      <c r="X1170" s="31">
        <v>0</v>
      </c>
      <c r="Y1170" s="31">
        <v>0</v>
      </c>
      <c r="Z1170" s="31">
        <v>0</v>
      </c>
      <c r="AA1170" s="31">
        <v>0</v>
      </c>
      <c r="AB1170" s="31">
        <v>0</v>
      </c>
      <c r="AC1170" s="31">
        <f>ROUND(P1170*1.5%,2)</f>
        <v>5489.09</v>
      </c>
      <c r="AD1170" s="31">
        <v>120000</v>
      </c>
      <c r="AE1170" s="31">
        <v>0</v>
      </c>
      <c r="AF1170" s="34">
        <v>2022</v>
      </c>
      <c r="AG1170" s="34">
        <v>2022</v>
      </c>
      <c r="AH1170" s="35">
        <v>2022</v>
      </c>
      <c r="AT1170" s="20" t="e">
        <f t="shared" si="545"/>
        <v>#N/A</v>
      </c>
    </row>
    <row r="1171" spans="1:46" ht="61.5" x14ac:dyDescent="0.85">
      <c r="A1171" s="20">
        <v>1</v>
      </c>
      <c r="B1171" s="66">
        <f>SUBTOTAL(103,$A$929:A1171)</f>
        <v>196</v>
      </c>
      <c r="C1171" s="24" t="s">
        <v>161</v>
      </c>
      <c r="D1171" s="31">
        <f t="shared" si="559"/>
        <v>3873479.02</v>
      </c>
      <c r="E1171" s="31">
        <v>0</v>
      </c>
      <c r="F1171" s="31">
        <v>0</v>
      </c>
      <c r="G1171" s="31">
        <v>0</v>
      </c>
      <c r="H1171" s="31">
        <v>0</v>
      </c>
      <c r="I1171" s="31">
        <v>0</v>
      </c>
      <c r="J1171" s="31">
        <v>0</v>
      </c>
      <c r="K1171" s="33">
        <v>0</v>
      </c>
      <c r="L1171" s="31">
        <v>0</v>
      </c>
      <c r="M1171" s="31">
        <v>741.79</v>
      </c>
      <c r="N1171" s="31">
        <f>3668452.24</f>
        <v>3668452.24</v>
      </c>
      <c r="O1171" s="31">
        <v>0</v>
      </c>
      <c r="P1171" s="31">
        <v>0</v>
      </c>
      <c r="Q1171" s="31">
        <v>0</v>
      </c>
      <c r="R1171" s="31">
        <v>0</v>
      </c>
      <c r="S1171" s="31">
        <v>0</v>
      </c>
      <c r="T1171" s="31">
        <v>0</v>
      </c>
      <c r="U1171" s="31">
        <v>0</v>
      </c>
      <c r="V1171" s="31">
        <v>0</v>
      </c>
      <c r="W1171" s="31">
        <v>0</v>
      </c>
      <c r="X1171" s="31">
        <v>0</v>
      </c>
      <c r="Y1171" s="31">
        <v>0</v>
      </c>
      <c r="Z1171" s="31">
        <v>0</v>
      </c>
      <c r="AA1171" s="31">
        <v>0</v>
      </c>
      <c r="AB1171" s="31">
        <v>0</v>
      </c>
      <c r="AC1171" s="31">
        <f>ROUND(N1171*1.5%,2)</f>
        <v>55026.78</v>
      </c>
      <c r="AD1171" s="31">
        <v>150000</v>
      </c>
      <c r="AE1171" s="31">
        <v>0</v>
      </c>
      <c r="AF1171" s="34">
        <v>2022</v>
      </c>
      <c r="AG1171" s="34">
        <v>2022</v>
      </c>
      <c r="AH1171" s="35">
        <v>2022</v>
      </c>
      <c r="AT1171" s="20" t="e">
        <f t="shared" si="545"/>
        <v>#N/A</v>
      </c>
    </row>
    <row r="1172" spans="1:46" ht="61.5" x14ac:dyDescent="0.85">
      <c r="A1172" s="20">
        <v>1</v>
      </c>
      <c r="B1172" s="66">
        <f>SUBTOTAL(103,$A$929:A1172)</f>
        <v>197</v>
      </c>
      <c r="C1172" s="24" t="s">
        <v>139</v>
      </c>
      <c r="D1172" s="31">
        <f t="shared" si="559"/>
        <v>5195691</v>
      </c>
      <c r="E1172" s="31">
        <v>0</v>
      </c>
      <c r="F1172" s="31">
        <v>0</v>
      </c>
      <c r="G1172" s="31">
        <v>0</v>
      </c>
      <c r="H1172" s="31">
        <v>0</v>
      </c>
      <c r="I1172" s="31">
        <v>0</v>
      </c>
      <c r="J1172" s="31">
        <v>0</v>
      </c>
      <c r="K1172" s="33">
        <v>0</v>
      </c>
      <c r="L1172" s="31">
        <v>0</v>
      </c>
      <c r="M1172" s="31">
        <v>995</v>
      </c>
      <c r="N1172" s="31">
        <v>4971124.1399999997</v>
      </c>
      <c r="O1172" s="31">
        <v>0</v>
      </c>
      <c r="P1172" s="31">
        <v>0</v>
      </c>
      <c r="Q1172" s="31">
        <v>0</v>
      </c>
      <c r="R1172" s="31">
        <v>0</v>
      </c>
      <c r="S1172" s="31">
        <v>0</v>
      </c>
      <c r="T1172" s="31">
        <v>0</v>
      </c>
      <c r="U1172" s="31">
        <v>0</v>
      </c>
      <c r="V1172" s="31">
        <v>0</v>
      </c>
      <c r="W1172" s="31">
        <v>0</v>
      </c>
      <c r="X1172" s="31">
        <v>0</v>
      </c>
      <c r="Y1172" s="31">
        <v>0</v>
      </c>
      <c r="Z1172" s="31">
        <v>0</v>
      </c>
      <c r="AA1172" s="31">
        <v>0</v>
      </c>
      <c r="AB1172" s="31">
        <v>0</v>
      </c>
      <c r="AC1172" s="31">
        <f>ROUND(N1172*1.5%,2)</f>
        <v>74566.86</v>
      </c>
      <c r="AD1172" s="31">
        <v>150000</v>
      </c>
      <c r="AE1172" s="31">
        <v>0</v>
      </c>
      <c r="AF1172" s="34">
        <v>2022</v>
      </c>
      <c r="AG1172" s="34">
        <v>2022</v>
      </c>
      <c r="AH1172" s="35">
        <v>2022</v>
      </c>
      <c r="AT1172" s="20" t="e">
        <f>VLOOKUP(C1172,AW$1172:AX$1172,2,FALSE)</f>
        <v>#N/A</v>
      </c>
    </row>
    <row r="1173" spans="1:46" ht="61.5" x14ac:dyDescent="0.85">
      <c r="B1173" s="24" t="s">
        <v>897</v>
      </c>
      <c r="C1173" s="117"/>
      <c r="D1173" s="31">
        <f>D1174+D1175</f>
        <v>9221698.8000000007</v>
      </c>
      <c r="E1173" s="31">
        <f t="shared" ref="E1173:AE1173" si="560">E1174+E1175</f>
        <v>0</v>
      </c>
      <c r="F1173" s="31">
        <f t="shared" si="560"/>
        <v>0</v>
      </c>
      <c r="G1173" s="31">
        <f t="shared" si="560"/>
        <v>0</v>
      </c>
      <c r="H1173" s="31">
        <f t="shared" si="560"/>
        <v>0</v>
      </c>
      <c r="I1173" s="31">
        <f t="shared" si="560"/>
        <v>0</v>
      </c>
      <c r="J1173" s="31">
        <f t="shared" si="560"/>
        <v>0</v>
      </c>
      <c r="K1173" s="33">
        <f t="shared" si="560"/>
        <v>0</v>
      </c>
      <c r="L1173" s="31">
        <f t="shared" si="560"/>
        <v>0</v>
      </c>
      <c r="M1173" s="31">
        <f t="shared" si="560"/>
        <v>1766</v>
      </c>
      <c r="N1173" s="31">
        <f t="shared" si="560"/>
        <v>8789851.0299999993</v>
      </c>
      <c r="O1173" s="31">
        <f t="shared" si="560"/>
        <v>0</v>
      </c>
      <c r="P1173" s="31">
        <f t="shared" si="560"/>
        <v>0</v>
      </c>
      <c r="Q1173" s="31">
        <f t="shared" si="560"/>
        <v>0</v>
      </c>
      <c r="R1173" s="31">
        <f t="shared" si="560"/>
        <v>0</v>
      </c>
      <c r="S1173" s="31">
        <f t="shared" si="560"/>
        <v>0</v>
      </c>
      <c r="T1173" s="31">
        <f t="shared" si="560"/>
        <v>0</v>
      </c>
      <c r="U1173" s="31">
        <f t="shared" si="560"/>
        <v>0</v>
      </c>
      <c r="V1173" s="31">
        <f t="shared" si="560"/>
        <v>0</v>
      </c>
      <c r="W1173" s="31">
        <f t="shared" si="560"/>
        <v>0</v>
      </c>
      <c r="X1173" s="31">
        <f t="shared" si="560"/>
        <v>0</v>
      </c>
      <c r="Y1173" s="31">
        <f t="shared" si="560"/>
        <v>0</v>
      </c>
      <c r="Z1173" s="31">
        <f t="shared" si="560"/>
        <v>0</v>
      </c>
      <c r="AA1173" s="31">
        <f t="shared" si="560"/>
        <v>0</v>
      </c>
      <c r="AB1173" s="31">
        <f t="shared" si="560"/>
        <v>0</v>
      </c>
      <c r="AC1173" s="31">
        <f t="shared" si="560"/>
        <v>131847.76999999999</v>
      </c>
      <c r="AD1173" s="31">
        <f t="shared" si="560"/>
        <v>300000</v>
      </c>
      <c r="AE1173" s="31">
        <f t="shared" si="560"/>
        <v>0</v>
      </c>
      <c r="AF1173" s="119" t="s">
        <v>794</v>
      </c>
      <c r="AG1173" s="119" t="s">
        <v>794</v>
      </c>
      <c r="AH1173" s="120" t="s">
        <v>794</v>
      </c>
      <c r="AT1173" s="20" t="e">
        <f t="shared" ref="AT1173:AT1198" si="561">VLOOKUP(C1173,AW:AX,2,FALSE)</f>
        <v>#N/A</v>
      </c>
    </row>
    <row r="1174" spans="1:46" ht="61.5" x14ac:dyDescent="0.85">
      <c r="A1174" s="20">
        <v>1</v>
      </c>
      <c r="B1174" s="66">
        <f>SUBTOTAL(103,$A$929:A1174)</f>
        <v>198</v>
      </c>
      <c r="C1174" s="24" t="s">
        <v>101</v>
      </c>
      <c r="D1174" s="31">
        <f t="shared" ref="D1174:D1175" si="562">E1174+F1174+G1174+H1174+I1174+J1174+L1174+N1174+P1174+R1174+T1174+U1174+V1174+W1174+X1174+Y1174+Z1174+AA1174+AB1174+AC1174+AD1174+AE1174</f>
        <v>4177440</v>
      </c>
      <c r="E1174" s="31">
        <v>0</v>
      </c>
      <c r="F1174" s="31">
        <v>0</v>
      </c>
      <c r="G1174" s="31">
        <v>0</v>
      </c>
      <c r="H1174" s="31">
        <v>0</v>
      </c>
      <c r="I1174" s="31">
        <v>0</v>
      </c>
      <c r="J1174" s="31">
        <v>0</v>
      </c>
      <c r="K1174" s="33">
        <v>0</v>
      </c>
      <c r="L1174" s="31">
        <v>0</v>
      </c>
      <c r="M1174" s="31">
        <v>800</v>
      </c>
      <c r="N1174" s="31">
        <v>3967921.18</v>
      </c>
      <c r="O1174" s="31">
        <v>0</v>
      </c>
      <c r="P1174" s="31">
        <v>0</v>
      </c>
      <c r="Q1174" s="31">
        <v>0</v>
      </c>
      <c r="R1174" s="31">
        <v>0</v>
      </c>
      <c r="S1174" s="31">
        <v>0</v>
      </c>
      <c r="T1174" s="31">
        <v>0</v>
      </c>
      <c r="U1174" s="31">
        <v>0</v>
      </c>
      <c r="V1174" s="31">
        <v>0</v>
      </c>
      <c r="W1174" s="31">
        <v>0</v>
      </c>
      <c r="X1174" s="31">
        <v>0</v>
      </c>
      <c r="Y1174" s="31">
        <v>0</v>
      </c>
      <c r="Z1174" s="31">
        <v>0</v>
      </c>
      <c r="AA1174" s="31">
        <v>0</v>
      </c>
      <c r="AB1174" s="31">
        <v>0</v>
      </c>
      <c r="AC1174" s="31">
        <f t="shared" ref="AC1174:AC1175" si="563">ROUND(N1174*1.5%,2)</f>
        <v>59518.82</v>
      </c>
      <c r="AD1174" s="31">
        <v>150000</v>
      </c>
      <c r="AE1174" s="31">
        <v>0</v>
      </c>
      <c r="AF1174" s="34">
        <v>2022</v>
      </c>
      <c r="AG1174" s="34">
        <v>2022</v>
      </c>
      <c r="AH1174" s="35">
        <v>2022</v>
      </c>
      <c r="AT1174" s="20" t="e">
        <f t="shared" si="561"/>
        <v>#N/A</v>
      </c>
    </row>
    <row r="1175" spans="1:46" ht="61.5" x14ac:dyDescent="0.85">
      <c r="A1175" s="20">
        <v>1</v>
      </c>
      <c r="B1175" s="66">
        <f>SUBTOTAL(103,$A$929:A1175)</f>
        <v>199</v>
      </c>
      <c r="C1175" s="24" t="s">
        <v>102</v>
      </c>
      <c r="D1175" s="31">
        <f t="shared" si="562"/>
        <v>5044258.8</v>
      </c>
      <c r="E1175" s="31">
        <v>0</v>
      </c>
      <c r="F1175" s="31">
        <v>0</v>
      </c>
      <c r="G1175" s="31">
        <v>0</v>
      </c>
      <c r="H1175" s="31">
        <v>0</v>
      </c>
      <c r="I1175" s="31">
        <v>0</v>
      </c>
      <c r="J1175" s="31">
        <v>0</v>
      </c>
      <c r="K1175" s="33">
        <v>0</v>
      </c>
      <c r="L1175" s="31">
        <v>0</v>
      </c>
      <c r="M1175" s="31">
        <v>966</v>
      </c>
      <c r="N1175" s="31">
        <v>4821929.8499999996</v>
      </c>
      <c r="O1175" s="31">
        <v>0</v>
      </c>
      <c r="P1175" s="31">
        <v>0</v>
      </c>
      <c r="Q1175" s="31">
        <v>0</v>
      </c>
      <c r="R1175" s="31">
        <v>0</v>
      </c>
      <c r="S1175" s="31">
        <v>0</v>
      </c>
      <c r="T1175" s="31">
        <v>0</v>
      </c>
      <c r="U1175" s="31">
        <v>0</v>
      </c>
      <c r="V1175" s="31">
        <v>0</v>
      </c>
      <c r="W1175" s="31">
        <v>0</v>
      </c>
      <c r="X1175" s="31">
        <v>0</v>
      </c>
      <c r="Y1175" s="31">
        <v>0</v>
      </c>
      <c r="Z1175" s="31">
        <v>0</v>
      </c>
      <c r="AA1175" s="31">
        <v>0</v>
      </c>
      <c r="AB1175" s="31">
        <v>0</v>
      </c>
      <c r="AC1175" s="31">
        <f t="shared" si="563"/>
        <v>72328.95</v>
      </c>
      <c r="AD1175" s="31">
        <v>150000</v>
      </c>
      <c r="AE1175" s="31">
        <v>0</v>
      </c>
      <c r="AF1175" s="34">
        <v>2022</v>
      </c>
      <c r="AG1175" s="34">
        <v>2022</v>
      </c>
      <c r="AH1175" s="35">
        <v>2022</v>
      </c>
      <c r="AT1175" s="20" t="e">
        <f t="shared" si="561"/>
        <v>#N/A</v>
      </c>
    </row>
    <row r="1176" spans="1:46" ht="61.5" x14ac:dyDescent="0.85">
      <c r="B1176" s="24" t="s">
        <v>924</v>
      </c>
      <c r="C1176" s="24"/>
      <c r="D1176" s="31">
        <f>D1177</f>
        <v>3623929.1999999997</v>
      </c>
      <c r="E1176" s="31">
        <f t="shared" ref="E1176:AE1176" si="564">E1177</f>
        <v>0</v>
      </c>
      <c r="F1176" s="31">
        <f t="shared" si="564"/>
        <v>0</v>
      </c>
      <c r="G1176" s="31">
        <f t="shared" si="564"/>
        <v>0</v>
      </c>
      <c r="H1176" s="31">
        <f t="shared" si="564"/>
        <v>0</v>
      </c>
      <c r="I1176" s="31">
        <f t="shared" si="564"/>
        <v>0</v>
      </c>
      <c r="J1176" s="31">
        <f t="shared" si="564"/>
        <v>0</v>
      </c>
      <c r="K1176" s="33">
        <f t="shared" si="564"/>
        <v>0</v>
      </c>
      <c r="L1176" s="31">
        <f t="shared" si="564"/>
        <v>0</v>
      </c>
      <c r="M1176" s="31">
        <f t="shared" si="564"/>
        <v>694</v>
      </c>
      <c r="N1176" s="31">
        <f t="shared" si="564"/>
        <v>3422590.34</v>
      </c>
      <c r="O1176" s="31">
        <f t="shared" si="564"/>
        <v>0</v>
      </c>
      <c r="P1176" s="31">
        <f t="shared" si="564"/>
        <v>0</v>
      </c>
      <c r="Q1176" s="31">
        <f t="shared" si="564"/>
        <v>0</v>
      </c>
      <c r="R1176" s="31">
        <f t="shared" si="564"/>
        <v>0</v>
      </c>
      <c r="S1176" s="31">
        <f t="shared" si="564"/>
        <v>0</v>
      </c>
      <c r="T1176" s="31">
        <f t="shared" si="564"/>
        <v>0</v>
      </c>
      <c r="U1176" s="31">
        <f t="shared" si="564"/>
        <v>0</v>
      </c>
      <c r="V1176" s="31">
        <f t="shared" si="564"/>
        <v>0</v>
      </c>
      <c r="W1176" s="31">
        <f t="shared" si="564"/>
        <v>0</v>
      </c>
      <c r="X1176" s="31">
        <f t="shared" si="564"/>
        <v>0</v>
      </c>
      <c r="Y1176" s="31">
        <f t="shared" si="564"/>
        <v>0</v>
      </c>
      <c r="Z1176" s="31">
        <f t="shared" si="564"/>
        <v>0</v>
      </c>
      <c r="AA1176" s="31">
        <f t="shared" si="564"/>
        <v>0</v>
      </c>
      <c r="AB1176" s="31">
        <f t="shared" si="564"/>
        <v>0</v>
      </c>
      <c r="AC1176" s="31">
        <f t="shared" si="564"/>
        <v>51338.86</v>
      </c>
      <c r="AD1176" s="31">
        <f t="shared" si="564"/>
        <v>150000</v>
      </c>
      <c r="AE1176" s="31">
        <f t="shared" si="564"/>
        <v>0</v>
      </c>
      <c r="AF1176" s="119" t="s">
        <v>794</v>
      </c>
      <c r="AG1176" s="119" t="s">
        <v>794</v>
      </c>
      <c r="AH1176" s="120" t="s">
        <v>794</v>
      </c>
      <c r="AT1176" s="20" t="e">
        <f t="shared" si="561"/>
        <v>#N/A</v>
      </c>
    </row>
    <row r="1177" spans="1:46" ht="61.5" x14ac:dyDescent="0.85">
      <c r="A1177" s="20">
        <v>1</v>
      </c>
      <c r="B1177" s="66">
        <f>SUBTOTAL(103,$A$929:A1177)</f>
        <v>200</v>
      </c>
      <c r="C1177" s="24" t="s">
        <v>106</v>
      </c>
      <c r="D1177" s="31">
        <f t="shared" ref="D1177" si="565">E1177+F1177+G1177+H1177+I1177+J1177+L1177+N1177+P1177+R1177+T1177+U1177+V1177+W1177+X1177+Y1177+Z1177+AA1177+AB1177+AC1177+AD1177+AE1177</f>
        <v>3623929.1999999997</v>
      </c>
      <c r="E1177" s="31">
        <v>0</v>
      </c>
      <c r="F1177" s="31">
        <v>0</v>
      </c>
      <c r="G1177" s="31">
        <v>0</v>
      </c>
      <c r="H1177" s="31">
        <v>0</v>
      </c>
      <c r="I1177" s="31">
        <v>0</v>
      </c>
      <c r="J1177" s="31">
        <v>0</v>
      </c>
      <c r="K1177" s="33">
        <v>0</v>
      </c>
      <c r="L1177" s="31">
        <v>0</v>
      </c>
      <c r="M1177" s="31">
        <v>694</v>
      </c>
      <c r="N1177" s="31">
        <v>3422590.34</v>
      </c>
      <c r="O1177" s="31">
        <v>0</v>
      </c>
      <c r="P1177" s="31">
        <v>0</v>
      </c>
      <c r="Q1177" s="31">
        <v>0</v>
      </c>
      <c r="R1177" s="31">
        <v>0</v>
      </c>
      <c r="S1177" s="31">
        <v>0</v>
      </c>
      <c r="T1177" s="31">
        <v>0</v>
      </c>
      <c r="U1177" s="31">
        <v>0</v>
      </c>
      <c r="V1177" s="31">
        <v>0</v>
      </c>
      <c r="W1177" s="31">
        <v>0</v>
      </c>
      <c r="X1177" s="31">
        <v>0</v>
      </c>
      <c r="Y1177" s="31">
        <v>0</v>
      </c>
      <c r="Z1177" s="31">
        <v>0</v>
      </c>
      <c r="AA1177" s="31">
        <v>0</v>
      </c>
      <c r="AB1177" s="31">
        <v>0</v>
      </c>
      <c r="AC1177" s="31">
        <f>ROUND(N1177*1.5%,2)</f>
        <v>51338.86</v>
      </c>
      <c r="AD1177" s="31">
        <v>150000</v>
      </c>
      <c r="AE1177" s="31">
        <v>0</v>
      </c>
      <c r="AF1177" s="34">
        <v>2022</v>
      </c>
      <c r="AG1177" s="34">
        <v>2022</v>
      </c>
      <c r="AH1177" s="35">
        <v>2022</v>
      </c>
      <c r="AT1177" s="20" t="e">
        <f t="shared" si="561"/>
        <v>#N/A</v>
      </c>
    </row>
    <row r="1178" spans="1:46" ht="61.5" x14ac:dyDescent="0.85">
      <c r="B1178" s="24" t="s">
        <v>898</v>
      </c>
      <c r="C1178" s="24"/>
      <c r="D1178" s="31">
        <f>D1179</f>
        <v>3080862</v>
      </c>
      <c r="E1178" s="31">
        <f t="shared" ref="E1178:AE1178" si="566">E1179</f>
        <v>0</v>
      </c>
      <c r="F1178" s="31">
        <f t="shared" si="566"/>
        <v>0</v>
      </c>
      <c r="G1178" s="31">
        <f t="shared" si="566"/>
        <v>0</v>
      </c>
      <c r="H1178" s="31">
        <f t="shared" si="566"/>
        <v>0</v>
      </c>
      <c r="I1178" s="31">
        <f t="shared" si="566"/>
        <v>0</v>
      </c>
      <c r="J1178" s="31">
        <f t="shared" si="566"/>
        <v>0</v>
      </c>
      <c r="K1178" s="33">
        <f t="shared" si="566"/>
        <v>0</v>
      </c>
      <c r="L1178" s="31">
        <f t="shared" si="566"/>
        <v>0</v>
      </c>
      <c r="M1178" s="31">
        <f t="shared" si="566"/>
        <v>590</v>
      </c>
      <c r="N1178" s="31">
        <f t="shared" si="566"/>
        <v>2887548.77</v>
      </c>
      <c r="O1178" s="31">
        <f t="shared" si="566"/>
        <v>0</v>
      </c>
      <c r="P1178" s="31">
        <f t="shared" si="566"/>
        <v>0</v>
      </c>
      <c r="Q1178" s="31">
        <f t="shared" si="566"/>
        <v>0</v>
      </c>
      <c r="R1178" s="31">
        <f t="shared" si="566"/>
        <v>0</v>
      </c>
      <c r="S1178" s="31">
        <f t="shared" si="566"/>
        <v>0</v>
      </c>
      <c r="T1178" s="31">
        <f t="shared" si="566"/>
        <v>0</v>
      </c>
      <c r="U1178" s="31">
        <f t="shared" si="566"/>
        <v>0</v>
      </c>
      <c r="V1178" s="31">
        <f t="shared" si="566"/>
        <v>0</v>
      </c>
      <c r="W1178" s="31">
        <f t="shared" si="566"/>
        <v>0</v>
      </c>
      <c r="X1178" s="31">
        <f t="shared" si="566"/>
        <v>0</v>
      </c>
      <c r="Y1178" s="31">
        <f t="shared" si="566"/>
        <v>0</v>
      </c>
      <c r="Z1178" s="31">
        <f t="shared" si="566"/>
        <v>0</v>
      </c>
      <c r="AA1178" s="31">
        <f t="shared" si="566"/>
        <v>0</v>
      </c>
      <c r="AB1178" s="31">
        <f t="shared" si="566"/>
        <v>0</v>
      </c>
      <c r="AC1178" s="31">
        <f t="shared" si="566"/>
        <v>43313.23</v>
      </c>
      <c r="AD1178" s="31">
        <f t="shared" si="566"/>
        <v>150000</v>
      </c>
      <c r="AE1178" s="31">
        <f t="shared" si="566"/>
        <v>0</v>
      </c>
      <c r="AF1178" s="119" t="s">
        <v>794</v>
      </c>
      <c r="AG1178" s="119" t="s">
        <v>794</v>
      </c>
      <c r="AH1178" s="120" t="s">
        <v>794</v>
      </c>
      <c r="AT1178" s="20" t="e">
        <f t="shared" si="561"/>
        <v>#N/A</v>
      </c>
    </row>
    <row r="1179" spans="1:46" ht="61.5" x14ac:dyDescent="0.85">
      <c r="A1179" s="20">
        <v>1</v>
      </c>
      <c r="B1179" s="66">
        <f>SUBTOTAL(103,$A$929:A1179)</f>
        <v>201</v>
      </c>
      <c r="C1179" s="24" t="s">
        <v>103</v>
      </c>
      <c r="D1179" s="31">
        <f t="shared" ref="D1179" si="567">E1179+F1179+G1179+H1179+I1179+J1179+L1179+N1179+P1179+R1179+T1179+U1179+V1179+W1179+X1179+Y1179+Z1179+AA1179+AB1179+AC1179+AD1179+AE1179</f>
        <v>3080862</v>
      </c>
      <c r="E1179" s="31">
        <v>0</v>
      </c>
      <c r="F1179" s="31">
        <v>0</v>
      </c>
      <c r="G1179" s="31">
        <v>0</v>
      </c>
      <c r="H1179" s="31">
        <v>0</v>
      </c>
      <c r="I1179" s="31">
        <v>0</v>
      </c>
      <c r="J1179" s="31">
        <v>0</v>
      </c>
      <c r="K1179" s="33">
        <v>0</v>
      </c>
      <c r="L1179" s="31">
        <v>0</v>
      </c>
      <c r="M1179" s="31">
        <v>590</v>
      </c>
      <c r="N1179" s="31">
        <v>2887548.77</v>
      </c>
      <c r="O1179" s="31">
        <v>0</v>
      </c>
      <c r="P1179" s="31">
        <v>0</v>
      </c>
      <c r="Q1179" s="31">
        <v>0</v>
      </c>
      <c r="R1179" s="31">
        <v>0</v>
      </c>
      <c r="S1179" s="31">
        <v>0</v>
      </c>
      <c r="T1179" s="31">
        <v>0</v>
      </c>
      <c r="U1179" s="31">
        <v>0</v>
      </c>
      <c r="V1179" s="31">
        <v>0</v>
      </c>
      <c r="W1179" s="31">
        <v>0</v>
      </c>
      <c r="X1179" s="31">
        <v>0</v>
      </c>
      <c r="Y1179" s="31">
        <v>0</v>
      </c>
      <c r="Z1179" s="31">
        <v>0</v>
      </c>
      <c r="AA1179" s="31">
        <v>0</v>
      </c>
      <c r="AB1179" s="31">
        <v>0</v>
      </c>
      <c r="AC1179" s="31">
        <f>ROUND(N1179*1.5%,2)</f>
        <v>43313.23</v>
      </c>
      <c r="AD1179" s="31">
        <v>150000</v>
      </c>
      <c r="AE1179" s="31">
        <v>0</v>
      </c>
      <c r="AF1179" s="34">
        <v>2022</v>
      </c>
      <c r="AG1179" s="34">
        <v>2022</v>
      </c>
      <c r="AH1179" s="35">
        <v>2022</v>
      </c>
      <c r="AT1179" s="20" t="e">
        <f t="shared" si="561"/>
        <v>#N/A</v>
      </c>
    </row>
    <row r="1180" spans="1:46" ht="61.5" x14ac:dyDescent="0.85">
      <c r="B1180" s="24" t="s">
        <v>899</v>
      </c>
      <c r="C1180" s="24"/>
      <c r="D1180" s="31">
        <f>D1181+D1182</f>
        <v>2610892.59</v>
      </c>
      <c r="E1180" s="31">
        <f t="shared" ref="E1180:AE1180" si="568">E1181+E1182</f>
        <v>0</v>
      </c>
      <c r="F1180" s="31">
        <f t="shared" si="568"/>
        <v>0</v>
      </c>
      <c r="G1180" s="31">
        <f t="shared" si="568"/>
        <v>0</v>
      </c>
      <c r="H1180" s="31">
        <f t="shared" si="568"/>
        <v>0</v>
      </c>
      <c r="I1180" s="31">
        <f t="shared" si="568"/>
        <v>0</v>
      </c>
      <c r="J1180" s="31">
        <f t="shared" si="568"/>
        <v>0</v>
      </c>
      <c r="K1180" s="33">
        <f t="shared" si="568"/>
        <v>0</v>
      </c>
      <c r="L1180" s="31">
        <f t="shared" si="568"/>
        <v>0</v>
      </c>
      <c r="M1180" s="31">
        <f t="shared" si="568"/>
        <v>500</v>
      </c>
      <c r="N1180" s="31">
        <f t="shared" si="568"/>
        <v>2335854.77</v>
      </c>
      <c r="O1180" s="31">
        <f t="shared" si="568"/>
        <v>0</v>
      </c>
      <c r="P1180" s="31">
        <f t="shared" si="568"/>
        <v>0</v>
      </c>
      <c r="Q1180" s="31">
        <f t="shared" si="568"/>
        <v>0</v>
      </c>
      <c r="R1180" s="31">
        <f t="shared" si="568"/>
        <v>0</v>
      </c>
      <c r="S1180" s="31">
        <f t="shared" si="568"/>
        <v>0</v>
      </c>
      <c r="T1180" s="31">
        <f t="shared" si="568"/>
        <v>0</v>
      </c>
      <c r="U1180" s="31">
        <f t="shared" si="568"/>
        <v>0</v>
      </c>
      <c r="V1180" s="31">
        <f t="shared" si="568"/>
        <v>0</v>
      </c>
      <c r="W1180" s="31">
        <f t="shared" si="568"/>
        <v>0</v>
      </c>
      <c r="X1180" s="31">
        <f t="shared" si="568"/>
        <v>0</v>
      </c>
      <c r="Y1180" s="31">
        <f t="shared" si="568"/>
        <v>0</v>
      </c>
      <c r="Z1180" s="31">
        <f t="shared" si="568"/>
        <v>0</v>
      </c>
      <c r="AA1180" s="31">
        <f t="shared" si="568"/>
        <v>0</v>
      </c>
      <c r="AB1180" s="31">
        <f t="shared" si="568"/>
        <v>0</v>
      </c>
      <c r="AC1180" s="31">
        <f t="shared" si="568"/>
        <v>35037.82</v>
      </c>
      <c r="AD1180" s="31">
        <f t="shared" si="568"/>
        <v>240000</v>
      </c>
      <c r="AE1180" s="31">
        <f t="shared" si="568"/>
        <v>0</v>
      </c>
      <c r="AF1180" s="119" t="s">
        <v>794</v>
      </c>
      <c r="AG1180" s="119" t="s">
        <v>794</v>
      </c>
      <c r="AH1180" s="120" t="s">
        <v>794</v>
      </c>
      <c r="AT1180" s="20" t="e">
        <f t="shared" si="561"/>
        <v>#N/A</v>
      </c>
    </row>
    <row r="1181" spans="1:46" ht="61.5" x14ac:dyDescent="0.85">
      <c r="A1181" s="20">
        <v>1</v>
      </c>
      <c r="B1181" s="66">
        <f>SUBTOTAL(103,$A$929:A1181)</f>
        <v>202</v>
      </c>
      <c r="C1181" s="24" t="s">
        <v>104</v>
      </c>
      <c r="D1181" s="31">
        <f t="shared" ref="D1181:D1182" si="569">E1181+F1181+G1181+H1181+I1181+J1181+L1181+N1181+P1181+R1181+T1181+U1181+V1181+W1181+X1181+Y1181+Z1181+AA1181+AB1181+AC1181+AD1181+AE1181</f>
        <v>1321115.3999999999</v>
      </c>
      <c r="E1181" s="31">
        <v>0</v>
      </c>
      <c r="F1181" s="31">
        <v>0</v>
      </c>
      <c r="G1181" s="31">
        <v>0</v>
      </c>
      <c r="H1181" s="31">
        <v>0</v>
      </c>
      <c r="I1181" s="31">
        <v>0</v>
      </c>
      <c r="J1181" s="31">
        <v>0</v>
      </c>
      <c r="K1181" s="33">
        <v>0</v>
      </c>
      <c r="L1181" s="31">
        <v>0</v>
      </c>
      <c r="M1181" s="31">
        <v>253</v>
      </c>
      <c r="N1181" s="31">
        <v>1183364.93</v>
      </c>
      <c r="O1181" s="31">
        <v>0</v>
      </c>
      <c r="P1181" s="31">
        <v>0</v>
      </c>
      <c r="Q1181" s="31">
        <v>0</v>
      </c>
      <c r="R1181" s="31">
        <v>0</v>
      </c>
      <c r="S1181" s="31">
        <v>0</v>
      </c>
      <c r="T1181" s="31">
        <v>0</v>
      </c>
      <c r="U1181" s="31">
        <v>0</v>
      </c>
      <c r="V1181" s="31">
        <v>0</v>
      </c>
      <c r="W1181" s="31">
        <v>0</v>
      </c>
      <c r="X1181" s="31">
        <v>0</v>
      </c>
      <c r="Y1181" s="31">
        <v>0</v>
      </c>
      <c r="Z1181" s="31">
        <v>0</v>
      </c>
      <c r="AA1181" s="31">
        <v>0</v>
      </c>
      <c r="AB1181" s="31">
        <v>0</v>
      </c>
      <c r="AC1181" s="31">
        <f t="shared" ref="AC1181:AC1182" si="570">ROUND(N1181*1.5%,2)</f>
        <v>17750.47</v>
      </c>
      <c r="AD1181" s="31">
        <v>120000</v>
      </c>
      <c r="AE1181" s="31">
        <v>0</v>
      </c>
      <c r="AF1181" s="34">
        <v>2022</v>
      </c>
      <c r="AG1181" s="34">
        <v>2022</v>
      </c>
      <c r="AH1181" s="35">
        <v>2022</v>
      </c>
      <c r="AT1181" s="20" t="e">
        <f t="shared" si="561"/>
        <v>#N/A</v>
      </c>
    </row>
    <row r="1182" spans="1:46" ht="61.5" x14ac:dyDescent="0.85">
      <c r="A1182" s="20">
        <v>1</v>
      </c>
      <c r="B1182" s="66">
        <f>SUBTOTAL(103,$A$929:A1182)</f>
        <v>203</v>
      </c>
      <c r="C1182" s="24" t="s">
        <v>105</v>
      </c>
      <c r="D1182" s="31">
        <f t="shared" si="569"/>
        <v>1289777.1900000002</v>
      </c>
      <c r="E1182" s="31">
        <v>0</v>
      </c>
      <c r="F1182" s="31">
        <v>0</v>
      </c>
      <c r="G1182" s="31">
        <v>0</v>
      </c>
      <c r="H1182" s="31">
        <v>0</v>
      </c>
      <c r="I1182" s="31">
        <v>0</v>
      </c>
      <c r="J1182" s="31">
        <v>0</v>
      </c>
      <c r="K1182" s="33">
        <v>0</v>
      </c>
      <c r="L1182" s="31">
        <v>0</v>
      </c>
      <c r="M1182" s="31">
        <v>247</v>
      </c>
      <c r="N1182" s="31">
        <v>1152489.8400000001</v>
      </c>
      <c r="O1182" s="31">
        <v>0</v>
      </c>
      <c r="P1182" s="31">
        <v>0</v>
      </c>
      <c r="Q1182" s="31">
        <v>0</v>
      </c>
      <c r="R1182" s="31">
        <v>0</v>
      </c>
      <c r="S1182" s="31">
        <v>0</v>
      </c>
      <c r="T1182" s="31">
        <v>0</v>
      </c>
      <c r="U1182" s="31">
        <v>0</v>
      </c>
      <c r="V1182" s="31">
        <v>0</v>
      </c>
      <c r="W1182" s="31">
        <v>0</v>
      </c>
      <c r="X1182" s="31">
        <v>0</v>
      </c>
      <c r="Y1182" s="31">
        <v>0</v>
      </c>
      <c r="Z1182" s="31">
        <v>0</v>
      </c>
      <c r="AA1182" s="31">
        <v>0</v>
      </c>
      <c r="AB1182" s="31">
        <v>0</v>
      </c>
      <c r="AC1182" s="31">
        <f t="shared" si="570"/>
        <v>17287.349999999999</v>
      </c>
      <c r="AD1182" s="31">
        <v>120000</v>
      </c>
      <c r="AE1182" s="31">
        <v>0</v>
      </c>
      <c r="AF1182" s="34">
        <v>2022</v>
      </c>
      <c r="AG1182" s="34">
        <v>2022</v>
      </c>
      <c r="AH1182" s="35">
        <v>2022</v>
      </c>
      <c r="AT1182" s="20" t="e">
        <f t="shared" si="561"/>
        <v>#N/A</v>
      </c>
    </row>
    <row r="1183" spans="1:46" ht="61.5" x14ac:dyDescent="0.85">
      <c r="B1183" s="24" t="s">
        <v>901</v>
      </c>
      <c r="C1183" s="117"/>
      <c r="D1183" s="31">
        <f>D1184+D1185+D1186</f>
        <v>6332416.4000000004</v>
      </c>
      <c r="E1183" s="31">
        <f t="shared" ref="E1183:AE1183" si="571">E1184+E1185+E1186</f>
        <v>0</v>
      </c>
      <c r="F1183" s="31">
        <f t="shared" si="571"/>
        <v>0</v>
      </c>
      <c r="G1183" s="31">
        <f t="shared" si="571"/>
        <v>0</v>
      </c>
      <c r="H1183" s="31">
        <f t="shared" si="571"/>
        <v>0</v>
      </c>
      <c r="I1183" s="31">
        <f t="shared" si="571"/>
        <v>0</v>
      </c>
      <c r="J1183" s="31">
        <f t="shared" si="571"/>
        <v>0</v>
      </c>
      <c r="K1183" s="33">
        <f t="shared" si="571"/>
        <v>0</v>
      </c>
      <c r="L1183" s="31">
        <f t="shared" si="571"/>
        <v>0</v>
      </c>
      <c r="M1183" s="31">
        <f t="shared" si="571"/>
        <v>696</v>
      </c>
      <c r="N1183" s="31">
        <f t="shared" si="571"/>
        <v>3349359.61</v>
      </c>
      <c r="O1183" s="31">
        <f t="shared" si="571"/>
        <v>0</v>
      </c>
      <c r="P1183" s="31">
        <f t="shared" si="571"/>
        <v>0</v>
      </c>
      <c r="Q1183" s="31">
        <f t="shared" si="571"/>
        <v>910</v>
      </c>
      <c r="R1183" s="31">
        <f t="shared" si="571"/>
        <v>2485533.4</v>
      </c>
      <c r="S1183" s="31">
        <f t="shared" si="571"/>
        <v>0</v>
      </c>
      <c r="T1183" s="31">
        <f t="shared" si="571"/>
        <v>0</v>
      </c>
      <c r="U1183" s="31">
        <f t="shared" si="571"/>
        <v>0</v>
      </c>
      <c r="V1183" s="31">
        <f t="shared" si="571"/>
        <v>0</v>
      </c>
      <c r="W1183" s="31">
        <f t="shared" si="571"/>
        <v>0</v>
      </c>
      <c r="X1183" s="31">
        <f t="shared" si="571"/>
        <v>0</v>
      </c>
      <c r="Y1183" s="31">
        <f t="shared" si="571"/>
        <v>0</v>
      </c>
      <c r="Z1183" s="31">
        <f t="shared" si="571"/>
        <v>0</v>
      </c>
      <c r="AA1183" s="31">
        <f t="shared" si="571"/>
        <v>0</v>
      </c>
      <c r="AB1183" s="31">
        <f t="shared" si="571"/>
        <v>0</v>
      </c>
      <c r="AC1183" s="31">
        <f t="shared" si="571"/>
        <v>87523.39</v>
      </c>
      <c r="AD1183" s="31">
        <f t="shared" si="571"/>
        <v>410000</v>
      </c>
      <c r="AE1183" s="31">
        <f t="shared" si="571"/>
        <v>0</v>
      </c>
      <c r="AF1183" s="119" t="s">
        <v>794</v>
      </c>
      <c r="AG1183" s="119" t="s">
        <v>794</v>
      </c>
      <c r="AH1183" s="120" t="s">
        <v>794</v>
      </c>
      <c r="AT1183" s="20" t="e">
        <f t="shared" si="561"/>
        <v>#N/A</v>
      </c>
    </row>
    <row r="1184" spans="1:46" ht="61.5" x14ac:dyDescent="0.85">
      <c r="A1184" s="20">
        <v>1</v>
      </c>
      <c r="B1184" s="66">
        <f>SUBTOTAL(103,$A$929:A1184)</f>
        <v>204</v>
      </c>
      <c r="C1184" s="24" t="s">
        <v>198</v>
      </c>
      <c r="D1184" s="31">
        <f t="shared" ref="D1184:D1186" si="572">E1184+F1184+G1184+H1184+I1184+J1184+L1184+N1184+P1184+R1184+T1184+U1184+V1184+W1184+X1184+Y1184+Z1184+AA1184+AB1184+AC1184+AD1184+AE1184</f>
        <v>3549600</v>
      </c>
      <c r="E1184" s="31">
        <v>0</v>
      </c>
      <c r="F1184" s="31">
        <v>0</v>
      </c>
      <c r="G1184" s="31">
        <v>0</v>
      </c>
      <c r="H1184" s="31">
        <v>0</v>
      </c>
      <c r="I1184" s="31">
        <v>0</v>
      </c>
      <c r="J1184" s="31">
        <v>0</v>
      </c>
      <c r="K1184" s="33">
        <v>0</v>
      </c>
      <c r="L1184" s="31">
        <v>0</v>
      </c>
      <c r="M1184" s="31">
        <v>696</v>
      </c>
      <c r="N1184" s="31">
        <v>3349359.61</v>
      </c>
      <c r="O1184" s="31">
        <v>0</v>
      </c>
      <c r="P1184" s="31">
        <v>0</v>
      </c>
      <c r="Q1184" s="31">
        <v>0</v>
      </c>
      <c r="R1184" s="31">
        <v>0</v>
      </c>
      <c r="S1184" s="31">
        <v>0</v>
      </c>
      <c r="T1184" s="31">
        <v>0</v>
      </c>
      <c r="U1184" s="31">
        <v>0</v>
      </c>
      <c r="V1184" s="31">
        <v>0</v>
      </c>
      <c r="W1184" s="31">
        <v>0</v>
      </c>
      <c r="X1184" s="31">
        <v>0</v>
      </c>
      <c r="Y1184" s="31">
        <v>0</v>
      </c>
      <c r="Z1184" s="31">
        <v>0</v>
      </c>
      <c r="AA1184" s="31">
        <v>0</v>
      </c>
      <c r="AB1184" s="31">
        <v>0</v>
      </c>
      <c r="AC1184" s="31">
        <f>ROUND(N1184*1.5%,2)</f>
        <v>50240.39</v>
      </c>
      <c r="AD1184" s="31">
        <v>150000</v>
      </c>
      <c r="AE1184" s="31">
        <v>0</v>
      </c>
      <c r="AF1184" s="34">
        <v>2022</v>
      </c>
      <c r="AG1184" s="34">
        <v>2022</v>
      </c>
      <c r="AH1184" s="35">
        <v>2022</v>
      </c>
      <c r="AT1184" s="20" t="e">
        <f t="shared" si="561"/>
        <v>#N/A</v>
      </c>
    </row>
    <row r="1185" spans="1:46" ht="61.5" x14ac:dyDescent="0.85">
      <c r="A1185" s="20">
        <v>1</v>
      </c>
      <c r="B1185" s="66">
        <f>SUBTOTAL(103,$A$929:A1185)</f>
        <v>205</v>
      </c>
      <c r="C1185" s="24" t="s">
        <v>199</v>
      </c>
      <c r="D1185" s="31">
        <f t="shared" si="572"/>
        <v>1391408.2</v>
      </c>
      <c r="E1185" s="31">
        <v>0</v>
      </c>
      <c r="F1185" s="31">
        <v>0</v>
      </c>
      <c r="G1185" s="31">
        <v>0</v>
      </c>
      <c r="H1185" s="31">
        <v>0</v>
      </c>
      <c r="I1185" s="31">
        <v>0</v>
      </c>
      <c r="J1185" s="31">
        <v>0</v>
      </c>
      <c r="K1185" s="33">
        <v>0</v>
      </c>
      <c r="L1185" s="31">
        <v>0</v>
      </c>
      <c r="M1185" s="31">
        <v>0</v>
      </c>
      <c r="N1185" s="31">
        <v>0</v>
      </c>
      <c r="O1185" s="31">
        <v>0</v>
      </c>
      <c r="P1185" s="31">
        <v>0</v>
      </c>
      <c r="Q1185" s="31">
        <v>455</v>
      </c>
      <c r="R1185" s="31">
        <v>1242766.7</v>
      </c>
      <c r="S1185" s="31">
        <v>0</v>
      </c>
      <c r="T1185" s="31">
        <v>0</v>
      </c>
      <c r="U1185" s="31">
        <v>0</v>
      </c>
      <c r="V1185" s="31">
        <v>0</v>
      </c>
      <c r="W1185" s="31">
        <v>0</v>
      </c>
      <c r="X1185" s="31">
        <v>0</v>
      </c>
      <c r="Y1185" s="31">
        <v>0</v>
      </c>
      <c r="Z1185" s="31">
        <v>0</v>
      </c>
      <c r="AA1185" s="31">
        <v>0</v>
      </c>
      <c r="AB1185" s="31">
        <v>0</v>
      </c>
      <c r="AC1185" s="31">
        <f t="shared" ref="AC1185:AC1186" si="573">ROUND(R1185*1.5%,2)</f>
        <v>18641.5</v>
      </c>
      <c r="AD1185" s="31">
        <v>130000</v>
      </c>
      <c r="AE1185" s="31">
        <v>0</v>
      </c>
      <c r="AF1185" s="34">
        <v>2022</v>
      </c>
      <c r="AG1185" s="34">
        <v>2022</v>
      </c>
      <c r="AH1185" s="35">
        <v>2022</v>
      </c>
      <c r="AT1185" s="20" t="e">
        <f t="shared" si="561"/>
        <v>#N/A</v>
      </c>
    </row>
    <row r="1186" spans="1:46" ht="61.5" x14ac:dyDescent="0.85">
      <c r="A1186" s="20">
        <v>1</v>
      </c>
      <c r="B1186" s="66">
        <f>SUBTOTAL(103,$A$929:A1186)</f>
        <v>206</v>
      </c>
      <c r="C1186" s="24" t="s">
        <v>200</v>
      </c>
      <c r="D1186" s="31">
        <f t="shared" si="572"/>
        <v>1391408.2</v>
      </c>
      <c r="E1186" s="31">
        <v>0</v>
      </c>
      <c r="F1186" s="31">
        <v>0</v>
      </c>
      <c r="G1186" s="31">
        <v>0</v>
      </c>
      <c r="H1186" s="31">
        <v>0</v>
      </c>
      <c r="I1186" s="31">
        <v>0</v>
      </c>
      <c r="J1186" s="31">
        <v>0</v>
      </c>
      <c r="K1186" s="33">
        <v>0</v>
      </c>
      <c r="L1186" s="31">
        <v>0</v>
      </c>
      <c r="M1186" s="31">
        <v>0</v>
      </c>
      <c r="N1186" s="31">
        <v>0</v>
      </c>
      <c r="O1186" s="31">
        <v>0</v>
      </c>
      <c r="P1186" s="31">
        <v>0</v>
      </c>
      <c r="Q1186" s="31">
        <v>455</v>
      </c>
      <c r="R1186" s="31">
        <v>1242766.7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1">
        <v>0</v>
      </c>
      <c r="Y1186" s="31">
        <v>0</v>
      </c>
      <c r="Z1186" s="31">
        <v>0</v>
      </c>
      <c r="AA1186" s="31">
        <v>0</v>
      </c>
      <c r="AB1186" s="31">
        <v>0</v>
      </c>
      <c r="AC1186" s="31">
        <f t="shared" si="573"/>
        <v>18641.5</v>
      </c>
      <c r="AD1186" s="31">
        <v>130000</v>
      </c>
      <c r="AE1186" s="31">
        <v>0</v>
      </c>
      <c r="AF1186" s="34">
        <v>2022</v>
      </c>
      <c r="AG1186" s="34">
        <v>2022</v>
      </c>
      <c r="AH1186" s="35">
        <v>2022</v>
      </c>
      <c r="AT1186" s="20" t="e">
        <f t="shared" si="561"/>
        <v>#N/A</v>
      </c>
    </row>
    <row r="1187" spans="1:46" ht="61.5" x14ac:dyDescent="0.85">
      <c r="B1187" s="24" t="s">
        <v>902</v>
      </c>
      <c r="C1187" s="24"/>
      <c r="D1187" s="31">
        <f>D1188</f>
        <v>4686244.08</v>
      </c>
      <c r="E1187" s="31">
        <f t="shared" ref="E1187:AE1187" si="574">E1188</f>
        <v>0</v>
      </c>
      <c r="F1187" s="31">
        <f t="shared" si="574"/>
        <v>0</v>
      </c>
      <c r="G1187" s="31">
        <f t="shared" si="574"/>
        <v>0</v>
      </c>
      <c r="H1187" s="31">
        <f t="shared" si="574"/>
        <v>0</v>
      </c>
      <c r="I1187" s="31">
        <f t="shared" si="574"/>
        <v>0</v>
      </c>
      <c r="J1187" s="31">
        <f t="shared" si="574"/>
        <v>0</v>
      </c>
      <c r="K1187" s="33">
        <f t="shared" si="574"/>
        <v>0</v>
      </c>
      <c r="L1187" s="31">
        <f t="shared" si="574"/>
        <v>0</v>
      </c>
      <c r="M1187" s="31">
        <f t="shared" si="574"/>
        <v>720</v>
      </c>
      <c r="N1187" s="31">
        <f t="shared" si="574"/>
        <v>4488910.42</v>
      </c>
      <c r="O1187" s="31">
        <f t="shared" si="574"/>
        <v>0</v>
      </c>
      <c r="P1187" s="31">
        <f t="shared" si="574"/>
        <v>0</v>
      </c>
      <c r="Q1187" s="31">
        <f t="shared" si="574"/>
        <v>0</v>
      </c>
      <c r="R1187" s="31">
        <f t="shared" si="574"/>
        <v>0</v>
      </c>
      <c r="S1187" s="31">
        <f t="shared" si="574"/>
        <v>0</v>
      </c>
      <c r="T1187" s="31">
        <f t="shared" si="574"/>
        <v>0</v>
      </c>
      <c r="U1187" s="31">
        <f t="shared" si="574"/>
        <v>0</v>
      </c>
      <c r="V1187" s="31">
        <f t="shared" si="574"/>
        <v>0</v>
      </c>
      <c r="W1187" s="31">
        <f t="shared" si="574"/>
        <v>0</v>
      </c>
      <c r="X1187" s="31">
        <f t="shared" si="574"/>
        <v>0</v>
      </c>
      <c r="Y1187" s="31">
        <f t="shared" si="574"/>
        <v>0</v>
      </c>
      <c r="Z1187" s="31">
        <f t="shared" si="574"/>
        <v>0</v>
      </c>
      <c r="AA1187" s="31">
        <f t="shared" si="574"/>
        <v>0</v>
      </c>
      <c r="AB1187" s="31">
        <f t="shared" si="574"/>
        <v>0</v>
      </c>
      <c r="AC1187" s="31">
        <f t="shared" si="574"/>
        <v>67333.66</v>
      </c>
      <c r="AD1187" s="31">
        <f t="shared" si="574"/>
        <v>130000</v>
      </c>
      <c r="AE1187" s="31">
        <f t="shared" si="574"/>
        <v>0</v>
      </c>
      <c r="AF1187" s="119" t="s">
        <v>794</v>
      </c>
      <c r="AG1187" s="119" t="s">
        <v>794</v>
      </c>
      <c r="AH1187" s="120" t="s">
        <v>794</v>
      </c>
      <c r="AT1187" s="20" t="e">
        <f t="shared" si="561"/>
        <v>#N/A</v>
      </c>
    </row>
    <row r="1188" spans="1:46" ht="61.5" x14ac:dyDescent="0.85">
      <c r="A1188" s="20">
        <v>1</v>
      </c>
      <c r="B1188" s="66">
        <f>SUBTOTAL(103,$A$929:A1188)</f>
        <v>207</v>
      </c>
      <c r="C1188" s="24" t="s">
        <v>1447</v>
      </c>
      <c r="D1188" s="31">
        <f t="shared" ref="D1188" si="575">E1188+F1188+G1188+H1188+I1188+J1188+L1188+N1188+P1188+R1188+T1188+U1188+V1188+W1188+X1188+Y1188+Z1188+AA1188+AB1188+AC1188+AD1188+AE1188</f>
        <v>4686244.08</v>
      </c>
      <c r="E1188" s="31">
        <v>0</v>
      </c>
      <c r="F1188" s="31">
        <v>0</v>
      </c>
      <c r="G1188" s="31">
        <v>0</v>
      </c>
      <c r="H1188" s="31">
        <v>0</v>
      </c>
      <c r="I1188" s="31">
        <v>0</v>
      </c>
      <c r="J1188" s="31">
        <v>0</v>
      </c>
      <c r="K1188" s="33">
        <v>0</v>
      </c>
      <c r="L1188" s="31">
        <v>0</v>
      </c>
      <c r="M1188" s="31">
        <v>720</v>
      </c>
      <c r="N1188" s="31">
        <f>2853393.18+1635517.24</f>
        <v>4488910.42</v>
      </c>
      <c r="O1188" s="31">
        <v>0</v>
      </c>
      <c r="P1188" s="31">
        <v>0</v>
      </c>
      <c r="Q1188" s="31">
        <v>0</v>
      </c>
      <c r="R1188" s="31">
        <v>0</v>
      </c>
      <c r="S1188" s="31">
        <v>0</v>
      </c>
      <c r="T1188" s="31">
        <v>0</v>
      </c>
      <c r="U1188" s="31">
        <v>0</v>
      </c>
      <c r="V1188" s="31">
        <v>0</v>
      </c>
      <c r="W1188" s="31">
        <v>0</v>
      </c>
      <c r="X1188" s="31">
        <v>0</v>
      </c>
      <c r="Y1188" s="31">
        <v>0</v>
      </c>
      <c r="Z1188" s="31">
        <v>0</v>
      </c>
      <c r="AA1188" s="31">
        <v>0</v>
      </c>
      <c r="AB1188" s="31">
        <v>0</v>
      </c>
      <c r="AC1188" s="31">
        <f>ROUND(N1188*1.5%,2)</f>
        <v>67333.66</v>
      </c>
      <c r="AD1188" s="31">
        <v>130000</v>
      </c>
      <c r="AE1188" s="31">
        <v>0</v>
      </c>
      <c r="AF1188" s="34">
        <v>2022</v>
      </c>
      <c r="AG1188" s="34">
        <v>2022</v>
      </c>
      <c r="AH1188" s="35">
        <v>2022</v>
      </c>
      <c r="AT1188" s="20" t="e">
        <f t="shared" si="561"/>
        <v>#N/A</v>
      </c>
    </row>
    <row r="1189" spans="1:46" ht="61.5" x14ac:dyDescent="0.85">
      <c r="B1189" s="24" t="s">
        <v>904</v>
      </c>
      <c r="C1189" s="24"/>
      <c r="D1189" s="31">
        <f>D1190</f>
        <v>3600600</v>
      </c>
      <c r="E1189" s="31">
        <f t="shared" ref="E1189:AE1189" si="576">E1190</f>
        <v>0</v>
      </c>
      <c r="F1189" s="31">
        <f t="shared" si="576"/>
        <v>0</v>
      </c>
      <c r="G1189" s="31">
        <f t="shared" si="576"/>
        <v>0</v>
      </c>
      <c r="H1189" s="31">
        <f t="shared" si="576"/>
        <v>0</v>
      </c>
      <c r="I1189" s="31">
        <f t="shared" si="576"/>
        <v>0</v>
      </c>
      <c r="J1189" s="31">
        <f t="shared" si="576"/>
        <v>0</v>
      </c>
      <c r="K1189" s="33">
        <f t="shared" si="576"/>
        <v>0</v>
      </c>
      <c r="L1189" s="31">
        <f t="shared" si="576"/>
        <v>0</v>
      </c>
      <c r="M1189" s="31">
        <f t="shared" si="576"/>
        <v>351</v>
      </c>
      <c r="N1189" s="31">
        <f t="shared" si="576"/>
        <v>1731597.04</v>
      </c>
      <c r="O1189" s="31">
        <f t="shared" si="576"/>
        <v>0</v>
      </c>
      <c r="P1189" s="31">
        <f t="shared" si="576"/>
        <v>0</v>
      </c>
      <c r="Q1189" s="31">
        <f t="shared" si="576"/>
        <v>333.4</v>
      </c>
      <c r="R1189" s="31">
        <f t="shared" si="576"/>
        <v>1668008.8699999999</v>
      </c>
      <c r="S1189" s="31">
        <f t="shared" si="576"/>
        <v>0</v>
      </c>
      <c r="T1189" s="31">
        <f t="shared" si="576"/>
        <v>0</v>
      </c>
      <c r="U1189" s="31">
        <f t="shared" si="576"/>
        <v>0</v>
      </c>
      <c r="V1189" s="31">
        <f t="shared" si="576"/>
        <v>0</v>
      </c>
      <c r="W1189" s="31">
        <f t="shared" si="576"/>
        <v>0</v>
      </c>
      <c r="X1189" s="31">
        <f t="shared" si="576"/>
        <v>0</v>
      </c>
      <c r="Y1189" s="31">
        <f t="shared" si="576"/>
        <v>0</v>
      </c>
      <c r="Z1189" s="31">
        <f t="shared" si="576"/>
        <v>0</v>
      </c>
      <c r="AA1189" s="31">
        <f t="shared" si="576"/>
        <v>0</v>
      </c>
      <c r="AB1189" s="31">
        <f t="shared" si="576"/>
        <v>0</v>
      </c>
      <c r="AC1189" s="31">
        <f t="shared" si="576"/>
        <v>50994.09</v>
      </c>
      <c r="AD1189" s="31">
        <f t="shared" si="576"/>
        <v>150000</v>
      </c>
      <c r="AE1189" s="31">
        <f t="shared" si="576"/>
        <v>0</v>
      </c>
      <c r="AF1189" s="119" t="s">
        <v>794</v>
      </c>
      <c r="AG1189" s="119" t="s">
        <v>794</v>
      </c>
      <c r="AH1189" s="120" t="s">
        <v>794</v>
      </c>
      <c r="AT1189" s="20" t="e">
        <f t="shared" si="561"/>
        <v>#N/A</v>
      </c>
    </row>
    <row r="1190" spans="1:46" ht="61.5" x14ac:dyDescent="0.85">
      <c r="A1190" s="20">
        <v>1</v>
      </c>
      <c r="B1190" s="66">
        <f>SUBTOTAL(103,$A$929:A1190)</f>
        <v>208</v>
      </c>
      <c r="C1190" s="24" t="s">
        <v>837</v>
      </c>
      <c r="D1190" s="31">
        <f t="shared" ref="D1190" si="577">E1190+F1190+G1190+H1190+I1190+J1190+L1190+N1190+P1190+R1190+T1190+U1190+V1190+W1190+X1190+Y1190+Z1190+AA1190+AB1190+AC1190+AD1190+AE1190</f>
        <v>3600600</v>
      </c>
      <c r="E1190" s="31">
        <v>0</v>
      </c>
      <c r="F1190" s="31">
        <v>0</v>
      </c>
      <c r="G1190" s="31">
        <v>0</v>
      </c>
      <c r="H1190" s="31">
        <v>0</v>
      </c>
      <c r="I1190" s="31">
        <v>0</v>
      </c>
      <c r="J1190" s="31">
        <v>0</v>
      </c>
      <c r="K1190" s="33">
        <v>0</v>
      </c>
      <c r="L1190" s="31">
        <v>0</v>
      </c>
      <c r="M1190" s="31">
        <v>351</v>
      </c>
      <c r="N1190" s="31">
        <v>1731597.04</v>
      </c>
      <c r="O1190" s="31">
        <v>0</v>
      </c>
      <c r="P1190" s="31">
        <v>0</v>
      </c>
      <c r="Q1190" s="31">
        <v>333.4</v>
      </c>
      <c r="R1190" s="31">
        <v>1668008.8699999999</v>
      </c>
      <c r="S1190" s="31">
        <v>0</v>
      </c>
      <c r="T1190" s="31">
        <v>0</v>
      </c>
      <c r="U1190" s="31">
        <v>0</v>
      </c>
      <c r="V1190" s="31">
        <v>0</v>
      </c>
      <c r="W1190" s="31">
        <v>0</v>
      </c>
      <c r="X1190" s="31">
        <v>0</v>
      </c>
      <c r="Y1190" s="31">
        <v>0</v>
      </c>
      <c r="Z1190" s="31">
        <v>0</v>
      </c>
      <c r="AA1190" s="31">
        <v>0</v>
      </c>
      <c r="AB1190" s="31">
        <v>0</v>
      </c>
      <c r="AC1190" s="31">
        <f>ROUND((N1190+R1190)*1.5%,2)</f>
        <v>50994.09</v>
      </c>
      <c r="AD1190" s="31">
        <v>150000</v>
      </c>
      <c r="AE1190" s="31">
        <v>0</v>
      </c>
      <c r="AF1190" s="34">
        <v>2022</v>
      </c>
      <c r="AG1190" s="34">
        <v>2022</v>
      </c>
      <c r="AH1190" s="35">
        <v>2022</v>
      </c>
      <c r="AT1190" s="20" t="e">
        <f t="shared" si="561"/>
        <v>#N/A</v>
      </c>
    </row>
    <row r="1191" spans="1:46" ht="61.5" x14ac:dyDescent="0.85">
      <c r="B1191" s="24" t="s">
        <v>923</v>
      </c>
      <c r="C1191" s="24"/>
      <c r="D1191" s="31">
        <f>D1192</f>
        <v>2233993.96</v>
      </c>
      <c r="E1191" s="31">
        <f t="shared" ref="E1191:AE1191" si="578">E1192</f>
        <v>0</v>
      </c>
      <c r="F1191" s="31">
        <f t="shared" si="578"/>
        <v>0</v>
      </c>
      <c r="G1191" s="31">
        <f t="shared" si="578"/>
        <v>0</v>
      </c>
      <c r="H1191" s="31">
        <f t="shared" si="578"/>
        <v>0</v>
      </c>
      <c r="I1191" s="31">
        <f t="shared" si="578"/>
        <v>0</v>
      </c>
      <c r="J1191" s="31">
        <f t="shared" si="578"/>
        <v>0</v>
      </c>
      <c r="K1191" s="33">
        <f t="shared" si="578"/>
        <v>0</v>
      </c>
      <c r="L1191" s="31">
        <f t="shared" si="578"/>
        <v>0</v>
      </c>
      <c r="M1191" s="31">
        <f t="shared" si="578"/>
        <v>376</v>
      </c>
      <c r="N1191" s="31">
        <f t="shared" si="578"/>
        <v>2082752.67</v>
      </c>
      <c r="O1191" s="31">
        <f t="shared" si="578"/>
        <v>0</v>
      </c>
      <c r="P1191" s="31">
        <f t="shared" si="578"/>
        <v>0</v>
      </c>
      <c r="Q1191" s="31">
        <f t="shared" si="578"/>
        <v>0</v>
      </c>
      <c r="R1191" s="31">
        <f t="shared" si="578"/>
        <v>0</v>
      </c>
      <c r="S1191" s="31">
        <f t="shared" si="578"/>
        <v>0</v>
      </c>
      <c r="T1191" s="31">
        <f t="shared" si="578"/>
        <v>0</v>
      </c>
      <c r="U1191" s="31">
        <f t="shared" si="578"/>
        <v>0</v>
      </c>
      <c r="V1191" s="31">
        <f t="shared" si="578"/>
        <v>0</v>
      </c>
      <c r="W1191" s="31">
        <f t="shared" si="578"/>
        <v>0</v>
      </c>
      <c r="X1191" s="31">
        <f t="shared" si="578"/>
        <v>0</v>
      </c>
      <c r="Y1191" s="31">
        <f t="shared" si="578"/>
        <v>0</v>
      </c>
      <c r="Z1191" s="31">
        <f t="shared" si="578"/>
        <v>0</v>
      </c>
      <c r="AA1191" s="31">
        <f t="shared" si="578"/>
        <v>0</v>
      </c>
      <c r="AB1191" s="31">
        <f t="shared" si="578"/>
        <v>0</v>
      </c>
      <c r="AC1191" s="31">
        <f t="shared" si="578"/>
        <v>31241.29</v>
      </c>
      <c r="AD1191" s="31">
        <f t="shared" si="578"/>
        <v>120000</v>
      </c>
      <c r="AE1191" s="31">
        <f t="shared" si="578"/>
        <v>0</v>
      </c>
      <c r="AF1191" s="119" t="s">
        <v>794</v>
      </c>
      <c r="AG1191" s="119" t="s">
        <v>794</v>
      </c>
      <c r="AH1191" s="120" t="s">
        <v>794</v>
      </c>
      <c r="AT1191" s="20" t="e">
        <f t="shared" si="561"/>
        <v>#N/A</v>
      </c>
    </row>
    <row r="1192" spans="1:46" ht="61.5" x14ac:dyDescent="0.85">
      <c r="A1192" s="20">
        <v>1</v>
      </c>
      <c r="B1192" s="66">
        <f>SUBTOTAL(103,$A$929:A1192)</f>
        <v>209</v>
      </c>
      <c r="C1192" s="24" t="s">
        <v>201</v>
      </c>
      <c r="D1192" s="31">
        <f t="shared" ref="D1192" si="579">E1192+F1192+G1192+H1192+I1192+J1192+L1192+N1192+P1192+R1192+T1192+U1192+V1192+W1192+X1192+Y1192+Z1192+AA1192+AB1192+AC1192+AD1192+AE1192</f>
        <v>2233993.96</v>
      </c>
      <c r="E1192" s="31">
        <v>0</v>
      </c>
      <c r="F1192" s="31">
        <v>0</v>
      </c>
      <c r="G1192" s="31">
        <v>0</v>
      </c>
      <c r="H1192" s="31">
        <v>0</v>
      </c>
      <c r="I1192" s="31">
        <v>0</v>
      </c>
      <c r="J1192" s="31">
        <v>0</v>
      </c>
      <c r="K1192" s="33">
        <v>0</v>
      </c>
      <c r="L1192" s="31">
        <v>0</v>
      </c>
      <c r="M1192" s="31">
        <v>376</v>
      </c>
      <c r="N1192" s="31">
        <f>1771034.48+311718.19</f>
        <v>2082752.67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  <c r="V1192" s="31">
        <v>0</v>
      </c>
      <c r="W1192" s="31">
        <v>0</v>
      </c>
      <c r="X1192" s="31">
        <v>0</v>
      </c>
      <c r="Y1192" s="31">
        <v>0</v>
      </c>
      <c r="Z1192" s="31">
        <v>0</v>
      </c>
      <c r="AA1192" s="31">
        <v>0</v>
      </c>
      <c r="AB1192" s="31">
        <v>0</v>
      </c>
      <c r="AC1192" s="31">
        <f>ROUND(N1192*1.5%,2)</f>
        <v>31241.29</v>
      </c>
      <c r="AD1192" s="31">
        <v>120000</v>
      </c>
      <c r="AE1192" s="31">
        <v>0</v>
      </c>
      <c r="AF1192" s="34">
        <v>2022</v>
      </c>
      <c r="AG1192" s="34">
        <v>2022</v>
      </c>
      <c r="AH1192" s="35">
        <v>2022</v>
      </c>
      <c r="AT1192" s="20" t="e">
        <f t="shared" si="561"/>
        <v>#N/A</v>
      </c>
    </row>
    <row r="1193" spans="1:46" ht="61.5" x14ac:dyDescent="0.85">
      <c r="B1193" s="24" t="s">
        <v>905</v>
      </c>
      <c r="C1193" s="117"/>
      <c r="D1193" s="31">
        <f>SUM(D1194:D1196)</f>
        <v>14392200</v>
      </c>
      <c r="E1193" s="31">
        <f t="shared" ref="E1193:AE1193" si="580">SUM(E1194:E1196)</f>
        <v>0</v>
      </c>
      <c r="F1193" s="31">
        <f t="shared" si="580"/>
        <v>0</v>
      </c>
      <c r="G1193" s="31">
        <f t="shared" si="580"/>
        <v>0</v>
      </c>
      <c r="H1193" s="31">
        <f t="shared" si="580"/>
        <v>0</v>
      </c>
      <c r="I1193" s="31">
        <f t="shared" si="580"/>
        <v>0</v>
      </c>
      <c r="J1193" s="31">
        <f t="shared" si="580"/>
        <v>0</v>
      </c>
      <c r="K1193" s="33">
        <f t="shared" si="580"/>
        <v>0</v>
      </c>
      <c r="L1193" s="31">
        <f t="shared" si="580"/>
        <v>0</v>
      </c>
      <c r="M1193" s="31">
        <f t="shared" si="580"/>
        <v>2822</v>
      </c>
      <c r="N1193" s="31">
        <f t="shared" si="580"/>
        <v>13706600.99</v>
      </c>
      <c r="O1193" s="31">
        <f t="shared" si="580"/>
        <v>0</v>
      </c>
      <c r="P1193" s="31">
        <f t="shared" si="580"/>
        <v>0</v>
      </c>
      <c r="Q1193" s="31">
        <f t="shared" si="580"/>
        <v>0</v>
      </c>
      <c r="R1193" s="31">
        <f t="shared" si="580"/>
        <v>0</v>
      </c>
      <c r="S1193" s="31">
        <f t="shared" si="580"/>
        <v>0</v>
      </c>
      <c r="T1193" s="31">
        <f t="shared" si="580"/>
        <v>0</v>
      </c>
      <c r="U1193" s="31">
        <f t="shared" si="580"/>
        <v>0</v>
      </c>
      <c r="V1193" s="31">
        <f t="shared" si="580"/>
        <v>0</v>
      </c>
      <c r="W1193" s="31">
        <f t="shared" si="580"/>
        <v>0</v>
      </c>
      <c r="X1193" s="31">
        <f t="shared" si="580"/>
        <v>0</v>
      </c>
      <c r="Y1193" s="31">
        <f t="shared" si="580"/>
        <v>0</v>
      </c>
      <c r="Z1193" s="31">
        <f t="shared" si="580"/>
        <v>0</v>
      </c>
      <c r="AA1193" s="31">
        <f t="shared" si="580"/>
        <v>0</v>
      </c>
      <c r="AB1193" s="31">
        <f t="shared" si="580"/>
        <v>0</v>
      </c>
      <c r="AC1193" s="31">
        <f t="shared" si="580"/>
        <v>205599.01</v>
      </c>
      <c r="AD1193" s="31">
        <f t="shared" si="580"/>
        <v>480000</v>
      </c>
      <c r="AE1193" s="31">
        <f t="shared" si="580"/>
        <v>0</v>
      </c>
      <c r="AF1193" s="119" t="s">
        <v>794</v>
      </c>
      <c r="AG1193" s="119" t="s">
        <v>794</v>
      </c>
      <c r="AH1193" s="120" t="s">
        <v>794</v>
      </c>
      <c r="AT1193" s="20" t="e">
        <f t="shared" si="561"/>
        <v>#N/A</v>
      </c>
    </row>
    <row r="1194" spans="1:46" ht="61.5" x14ac:dyDescent="0.85">
      <c r="A1194" s="20">
        <v>1</v>
      </c>
      <c r="B1194" s="66">
        <f>SUBTOTAL(103,$A$929:A1194)</f>
        <v>210</v>
      </c>
      <c r="C1194" s="24" t="s">
        <v>218</v>
      </c>
      <c r="D1194" s="31">
        <f t="shared" ref="D1194:D1196" si="581">E1194+F1194+G1194+H1194+I1194+J1194+L1194+N1194+P1194+R1194+T1194+U1194+V1194+W1194+X1194+Y1194+Z1194+AA1194+AB1194+AC1194+AD1194+AE1194</f>
        <v>6002700</v>
      </c>
      <c r="E1194" s="31">
        <v>0</v>
      </c>
      <c r="F1194" s="31">
        <v>0</v>
      </c>
      <c r="G1194" s="31">
        <v>0</v>
      </c>
      <c r="H1194" s="31">
        <v>0</v>
      </c>
      <c r="I1194" s="31">
        <v>0</v>
      </c>
      <c r="J1194" s="31">
        <v>0</v>
      </c>
      <c r="K1194" s="33">
        <v>0</v>
      </c>
      <c r="L1194" s="31">
        <v>0</v>
      </c>
      <c r="M1194" s="31">
        <v>1177</v>
      </c>
      <c r="N1194" s="31">
        <v>5736650.25</v>
      </c>
      <c r="O1194" s="31">
        <v>0</v>
      </c>
      <c r="P1194" s="31">
        <v>0</v>
      </c>
      <c r="Q1194" s="31">
        <v>0</v>
      </c>
      <c r="R1194" s="31">
        <v>0</v>
      </c>
      <c r="S1194" s="31">
        <v>0</v>
      </c>
      <c r="T1194" s="31">
        <v>0</v>
      </c>
      <c r="U1194" s="31">
        <v>0</v>
      </c>
      <c r="V1194" s="31">
        <v>0</v>
      </c>
      <c r="W1194" s="31">
        <v>0</v>
      </c>
      <c r="X1194" s="31">
        <v>0</v>
      </c>
      <c r="Y1194" s="31">
        <v>0</v>
      </c>
      <c r="Z1194" s="31">
        <v>0</v>
      </c>
      <c r="AA1194" s="31">
        <v>0</v>
      </c>
      <c r="AB1194" s="31">
        <v>0</v>
      </c>
      <c r="AC1194" s="31">
        <f t="shared" ref="AC1194:AC1196" si="582">ROUND(N1194*1.5%,2)</f>
        <v>86049.75</v>
      </c>
      <c r="AD1194" s="31">
        <v>180000</v>
      </c>
      <c r="AE1194" s="31">
        <v>0</v>
      </c>
      <c r="AF1194" s="34">
        <v>2022</v>
      </c>
      <c r="AG1194" s="34">
        <v>2022</v>
      </c>
      <c r="AH1194" s="35">
        <v>2022</v>
      </c>
      <c r="AT1194" s="20" t="e">
        <f t="shared" si="561"/>
        <v>#N/A</v>
      </c>
    </row>
    <row r="1195" spans="1:46" ht="61.5" x14ac:dyDescent="0.85">
      <c r="A1195" s="20">
        <v>1</v>
      </c>
      <c r="B1195" s="66">
        <f>SUBTOTAL(103,$A$929:A1195)</f>
        <v>211</v>
      </c>
      <c r="C1195" s="24" t="s">
        <v>219</v>
      </c>
      <c r="D1195" s="31">
        <f t="shared" si="581"/>
        <v>4059600</v>
      </c>
      <c r="E1195" s="31">
        <v>0</v>
      </c>
      <c r="F1195" s="31">
        <v>0</v>
      </c>
      <c r="G1195" s="31">
        <v>0</v>
      </c>
      <c r="H1195" s="31">
        <v>0</v>
      </c>
      <c r="I1195" s="31">
        <v>0</v>
      </c>
      <c r="J1195" s="31">
        <v>0</v>
      </c>
      <c r="K1195" s="33">
        <v>0</v>
      </c>
      <c r="L1195" s="31">
        <v>0</v>
      </c>
      <c r="M1195" s="31">
        <v>796</v>
      </c>
      <c r="N1195" s="31">
        <v>3851822.66</v>
      </c>
      <c r="O1195" s="31">
        <v>0</v>
      </c>
      <c r="P1195" s="31">
        <v>0</v>
      </c>
      <c r="Q1195" s="31">
        <v>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1">
        <v>0</v>
      </c>
      <c r="Y1195" s="31">
        <v>0</v>
      </c>
      <c r="Z1195" s="31">
        <v>0</v>
      </c>
      <c r="AA1195" s="31">
        <v>0</v>
      </c>
      <c r="AB1195" s="31">
        <v>0</v>
      </c>
      <c r="AC1195" s="31">
        <f t="shared" si="582"/>
        <v>57777.34</v>
      </c>
      <c r="AD1195" s="31">
        <v>150000</v>
      </c>
      <c r="AE1195" s="31">
        <v>0</v>
      </c>
      <c r="AF1195" s="34">
        <v>2022</v>
      </c>
      <c r="AG1195" s="34">
        <v>2022</v>
      </c>
      <c r="AH1195" s="35">
        <v>2022</v>
      </c>
      <c r="AT1195" s="20" t="e">
        <f t="shared" si="561"/>
        <v>#N/A</v>
      </c>
    </row>
    <row r="1196" spans="1:46" ht="61.5" x14ac:dyDescent="0.85">
      <c r="A1196" s="20">
        <v>1</v>
      </c>
      <c r="B1196" s="66">
        <f>SUBTOTAL(103,$A$929:A1196)</f>
        <v>212</v>
      </c>
      <c r="C1196" s="24" t="s">
        <v>220</v>
      </c>
      <c r="D1196" s="31">
        <f t="shared" si="581"/>
        <v>4329900</v>
      </c>
      <c r="E1196" s="31">
        <v>0</v>
      </c>
      <c r="F1196" s="31">
        <v>0</v>
      </c>
      <c r="G1196" s="31">
        <v>0</v>
      </c>
      <c r="H1196" s="31">
        <v>0</v>
      </c>
      <c r="I1196" s="31">
        <v>0</v>
      </c>
      <c r="J1196" s="31">
        <v>0</v>
      </c>
      <c r="K1196" s="33">
        <v>0</v>
      </c>
      <c r="L1196" s="31">
        <v>0</v>
      </c>
      <c r="M1196" s="31">
        <v>849</v>
      </c>
      <c r="N1196" s="31">
        <v>4118128.08</v>
      </c>
      <c r="O1196" s="31">
        <v>0</v>
      </c>
      <c r="P1196" s="31">
        <v>0</v>
      </c>
      <c r="Q1196" s="31">
        <v>0</v>
      </c>
      <c r="R1196" s="31">
        <v>0</v>
      </c>
      <c r="S1196" s="31">
        <v>0</v>
      </c>
      <c r="T1196" s="31">
        <v>0</v>
      </c>
      <c r="U1196" s="31">
        <v>0</v>
      </c>
      <c r="V1196" s="31">
        <v>0</v>
      </c>
      <c r="W1196" s="31">
        <v>0</v>
      </c>
      <c r="X1196" s="31">
        <v>0</v>
      </c>
      <c r="Y1196" s="31">
        <v>0</v>
      </c>
      <c r="Z1196" s="31">
        <v>0</v>
      </c>
      <c r="AA1196" s="31">
        <v>0</v>
      </c>
      <c r="AB1196" s="31">
        <v>0</v>
      </c>
      <c r="AC1196" s="31">
        <f t="shared" si="582"/>
        <v>61771.92</v>
      </c>
      <c r="AD1196" s="31">
        <v>150000</v>
      </c>
      <c r="AE1196" s="31">
        <v>0</v>
      </c>
      <c r="AF1196" s="34">
        <v>2022</v>
      </c>
      <c r="AG1196" s="34">
        <v>2022</v>
      </c>
      <c r="AH1196" s="35">
        <v>2022</v>
      </c>
      <c r="AT1196" s="20" t="e">
        <f t="shared" si="561"/>
        <v>#N/A</v>
      </c>
    </row>
    <row r="1197" spans="1:46" ht="61.5" x14ac:dyDescent="0.85">
      <c r="B1197" s="24" t="s">
        <v>906</v>
      </c>
      <c r="C1197" s="24"/>
      <c r="D1197" s="31">
        <f>D1198</f>
        <v>3396600</v>
      </c>
      <c r="E1197" s="31">
        <f t="shared" ref="E1197:AE1197" si="583">E1198</f>
        <v>0</v>
      </c>
      <c r="F1197" s="31">
        <f t="shared" si="583"/>
        <v>0</v>
      </c>
      <c r="G1197" s="31">
        <f t="shared" si="583"/>
        <v>0</v>
      </c>
      <c r="H1197" s="31">
        <f t="shared" si="583"/>
        <v>0</v>
      </c>
      <c r="I1197" s="31">
        <f t="shared" si="583"/>
        <v>0</v>
      </c>
      <c r="J1197" s="31">
        <f t="shared" si="583"/>
        <v>0</v>
      </c>
      <c r="K1197" s="33">
        <f t="shared" si="583"/>
        <v>0</v>
      </c>
      <c r="L1197" s="31">
        <f t="shared" si="583"/>
        <v>0</v>
      </c>
      <c r="M1197" s="31">
        <f t="shared" si="583"/>
        <v>666</v>
      </c>
      <c r="N1197" s="31">
        <f t="shared" si="583"/>
        <v>3198620.69</v>
      </c>
      <c r="O1197" s="31">
        <f t="shared" si="583"/>
        <v>0</v>
      </c>
      <c r="P1197" s="31">
        <f t="shared" si="583"/>
        <v>0</v>
      </c>
      <c r="Q1197" s="31">
        <f t="shared" si="583"/>
        <v>0</v>
      </c>
      <c r="R1197" s="31">
        <f t="shared" si="583"/>
        <v>0</v>
      </c>
      <c r="S1197" s="31">
        <f t="shared" si="583"/>
        <v>0</v>
      </c>
      <c r="T1197" s="31">
        <f t="shared" si="583"/>
        <v>0</v>
      </c>
      <c r="U1197" s="31">
        <f t="shared" si="583"/>
        <v>0</v>
      </c>
      <c r="V1197" s="31">
        <f t="shared" si="583"/>
        <v>0</v>
      </c>
      <c r="W1197" s="31">
        <f t="shared" si="583"/>
        <v>0</v>
      </c>
      <c r="X1197" s="31">
        <f t="shared" si="583"/>
        <v>0</v>
      </c>
      <c r="Y1197" s="31">
        <f t="shared" si="583"/>
        <v>0</v>
      </c>
      <c r="Z1197" s="31">
        <f t="shared" si="583"/>
        <v>0</v>
      </c>
      <c r="AA1197" s="31">
        <f t="shared" si="583"/>
        <v>0</v>
      </c>
      <c r="AB1197" s="31">
        <f t="shared" si="583"/>
        <v>0</v>
      </c>
      <c r="AC1197" s="31">
        <f t="shared" si="583"/>
        <v>47979.31</v>
      </c>
      <c r="AD1197" s="31">
        <f t="shared" si="583"/>
        <v>150000</v>
      </c>
      <c r="AE1197" s="31">
        <f t="shared" si="583"/>
        <v>0</v>
      </c>
      <c r="AF1197" s="119" t="s">
        <v>794</v>
      </c>
      <c r="AG1197" s="119" t="s">
        <v>794</v>
      </c>
      <c r="AH1197" s="120" t="s">
        <v>794</v>
      </c>
      <c r="AT1197" s="20" t="e">
        <f t="shared" si="561"/>
        <v>#N/A</v>
      </c>
    </row>
    <row r="1198" spans="1:46" ht="61.5" x14ac:dyDescent="0.85">
      <c r="A1198" s="20">
        <v>1</v>
      </c>
      <c r="B1198" s="66">
        <f>SUBTOTAL(103,$A$929:A1198)</f>
        <v>213</v>
      </c>
      <c r="C1198" s="24" t="s">
        <v>226</v>
      </c>
      <c r="D1198" s="31">
        <f t="shared" ref="D1198" si="584">E1198+F1198+G1198+H1198+I1198+J1198+L1198+N1198+P1198+R1198+T1198+U1198+V1198+W1198+X1198+Y1198+Z1198+AA1198+AB1198+AC1198+AD1198+AE1198</f>
        <v>3396600</v>
      </c>
      <c r="E1198" s="31">
        <v>0</v>
      </c>
      <c r="F1198" s="31">
        <v>0</v>
      </c>
      <c r="G1198" s="31">
        <v>0</v>
      </c>
      <c r="H1198" s="31">
        <v>0</v>
      </c>
      <c r="I1198" s="31">
        <v>0</v>
      </c>
      <c r="J1198" s="31">
        <v>0</v>
      </c>
      <c r="K1198" s="33">
        <v>0</v>
      </c>
      <c r="L1198" s="31">
        <v>0</v>
      </c>
      <c r="M1198" s="31">
        <v>666</v>
      </c>
      <c r="N1198" s="31">
        <v>3198620.69</v>
      </c>
      <c r="O1198" s="31">
        <v>0</v>
      </c>
      <c r="P1198" s="31">
        <v>0</v>
      </c>
      <c r="Q1198" s="31">
        <v>0</v>
      </c>
      <c r="R1198" s="31">
        <v>0</v>
      </c>
      <c r="S1198" s="31">
        <v>0</v>
      </c>
      <c r="T1198" s="31">
        <v>0</v>
      </c>
      <c r="U1198" s="31">
        <v>0</v>
      </c>
      <c r="V1198" s="31">
        <v>0</v>
      </c>
      <c r="W1198" s="31">
        <v>0</v>
      </c>
      <c r="X1198" s="31">
        <v>0</v>
      </c>
      <c r="Y1198" s="31">
        <v>0</v>
      </c>
      <c r="Z1198" s="31">
        <v>0</v>
      </c>
      <c r="AA1198" s="31">
        <v>0</v>
      </c>
      <c r="AB1198" s="31">
        <v>0</v>
      </c>
      <c r="AC1198" s="31">
        <f>ROUND(N1198*1.5%,2)</f>
        <v>47979.31</v>
      </c>
      <c r="AD1198" s="31">
        <v>150000</v>
      </c>
      <c r="AE1198" s="31">
        <v>0</v>
      </c>
      <c r="AF1198" s="34">
        <v>2022</v>
      </c>
      <c r="AG1198" s="34">
        <v>2022</v>
      </c>
      <c r="AH1198" s="35">
        <v>2022</v>
      </c>
      <c r="AT1198" s="20">
        <f t="shared" si="561"/>
        <v>1</v>
      </c>
    </row>
  </sheetData>
  <mergeCells count="40"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  <mergeCell ref="C9:AH9"/>
    <mergeCell ref="AB12:AB16"/>
    <mergeCell ref="AC12:AC16"/>
    <mergeCell ref="E13:E16"/>
    <mergeCell ref="F13:F16"/>
    <mergeCell ref="G13:G16"/>
    <mergeCell ref="H13:H16"/>
    <mergeCell ref="I13:I16"/>
    <mergeCell ref="X12:X16"/>
    <mergeCell ref="Y12:Y16"/>
    <mergeCell ref="J13:J16"/>
    <mergeCell ref="Z12:Z16"/>
    <mergeCell ref="AA12:AA16"/>
    <mergeCell ref="E11:T11"/>
    <mergeCell ref="U11:AE11"/>
    <mergeCell ref="AF11:AF17"/>
    <mergeCell ref="B7:B8"/>
    <mergeCell ref="W1:AH1"/>
    <mergeCell ref="V2:AH2"/>
    <mergeCell ref="V3:AH3"/>
    <mergeCell ref="B4:AH4"/>
    <mergeCell ref="B5:AH5"/>
    <mergeCell ref="B6:AH6"/>
    <mergeCell ref="C7:AH8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B1193"/>
  <sheetViews>
    <sheetView topLeftCell="B1140" zoomScale="30" zoomScaleNormal="30" zoomScaleSheetLayoutView="20" workbookViewId="0">
      <selection activeCell="U1192" sqref="A1:U1192"/>
    </sheetView>
  </sheetViews>
  <sheetFormatPr defaultRowHeight="15" x14ac:dyDescent="0.25"/>
  <cols>
    <col min="1" max="1" width="9.140625" style="6" hidden="1" customWidth="1"/>
    <col min="2" max="2" width="19.42578125" style="14" customWidth="1"/>
    <col min="3" max="3" width="152.140625" style="6" customWidth="1"/>
    <col min="4" max="4" width="35.140625" style="6" customWidth="1"/>
    <col min="5" max="5" width="29.28515625" style="14" customWidth="1"/>
    <col min="6" max="6" width="52.140625" style="6" customWidth="1"/>
    <col min="7" max="7" width="16.85546875" style="6" customWidth="1"/>
    <col min="8" max="8" width="17" style="6" customWidth="1"/>
    <col min="9" max="9" width="35.7109375" style="6" customWidth="1"/>
    <col min="10" max="10" width="34.7109375" style="6" customWidth="1"/>
    <col min="11" max="11" width="34.28515625" style="6" customWidth="1"/>
    <col min="12" max="12" width="22" style="15" customWidth="1"/>
    <col min="13" max="13" width="32.7109375" style="14" customWidth="1"/>
    <col min="14" max="14" width="43.28515625" style="14" customWidth="1"/>
    <col min="15" max="15" width="136.85546875" style="29" customWidth="1"/>
    <col min="16" max="16" width="46.7109375" style="16" customWidth="1"/>
    <col min="17" max="17" width="28.140625" style="16" customWidth="1"/>
    <col min="18" max="18" width="27" style="16" customWidth="1"/>
    <col min="19" max="19" width="41.42578125" style="16" customWidth="1"/>
    <col min="20" max="20" width="30.85546875" style="16" customWidth="1"/>
    <col min="21" max="21" width="32.28515625" style="16" customWidth="1"/>
    <col min="22" max="22" width="9.140625" style="6" customWidth="1"/>
    <col min="23" max="23" width="74.85546875" style="6" customWidth="1"/>
    <col min="24" max="24" width="9.140625" style="6" customWidth="1"/>
    <col min="25" max="25" width="85" style="6" customWidth="1"/>
    <col min="26" max="26" width="44.85546875" style="6" customWidth="1"/>
    <col min="27" max="69" width="9.140625" style="6" customWidth="1"/>
    <col min="70" max="16384" width="9.140625" style="6"/>
  </cols>
  <sheetData>
    <row r="1" spans="1:21" ht="36" x14ac:dyDescent="0.55000000000000004">
      <c r="B1" s="20"/>
      <c r="C1" s="22"/>
      <c r="D1" s="20"/>
      <c r="E1" s="76"/>
      <c r="F1" s="20"/>
      <c r="G1" s="20"/>
      <c r="H1" s="20"/>
      <c r="I1" s="20"/>
      <c r="J1" s="20"/>
      <c r="K1" s="40"/>
      <c r="L1" s="23"/>
      <c r="M1" s="21"/>
      <c r="N1" s="76"/>
      <c r="O1" s="43"/>
      <c r="P1" s="43"/>
      <c r="Q1" s="43"/>
      <c r="R1" s="43"/>
      <c r="S1" s="193" t="s">
        <v>1018</v>
      </c>
      <c r="T1" s="193"/>
      <c r="U1" s="193"/>
    </row>
    <row r="2" spans="1:21" ht="112.5" customHeight="1" x14ac:dyDescent="0.25">
      <c r="B2" s="20"/>
      <c r="C2" s="22"/>
      <c r="D2" s="20"/>
      <c r="E2" s="76"/>
      <c r="F2" s="20"/>
      <c r="G2" s="20"/>
      <c r="H2" s="20"/>
      <c r="I2" s="20"/>
      <c r="J2" s="20"/>
      <c r="K2" s="40"/>
      <c r="L2" s="23"/>
      <c r="M2" s="21"/>
      <c r="N2" s="76"/>
      <c r="O2" s="194" t="s">
        <v>1019</v>
      </c>
      <c r="P2" s="194"/>
      <c r="Q2" s="194"/>
      <c r="R2" s="194"/>
      <c r="S2" s="194"/>
      <c r="T2" s="194"/>
      <c r="U2" s="194"/>
    </row>
    <row r="3" spans="1:21" ht="15" customHeight="1" x14ac:dyDescent="0.25">
      <c r="B3" s="20"/>
      <c r="C3" s="22"/>
      <c r="D3" s="20"/>
      <c r="E3" s="76"/>
      <c r="F3" s="20"/>
      <c r="G3" s="20"/>
      <c r="H3" s="20"/>
      <c r="I3" s="20"/>
      <c r="J3" s="20"/>
      <c r="K3" s="40"/>
      <c r="L3" s="23"/>
      <c r="M3" s="21"/>
      <c r="N3" s="76"/>
      <c r="O3" s="194"/>
      <c r="P3" s="194"/>
      <c r="Q3" s="194"/>
      <c r="R3" s="194"/>
      <c r="S3" s="194"/>
      <c r="T3" s="194"/>
      <c r="U3" s="194"/>
    </row>
    <row r="4" spans="1:21" ht="15" customHeight="1" x14ac:dyDescent="0.25">
      <c r="B4" s="191" t="s">
        <v>1020</v>
      </c>
      <c r="C4" s="191"/>
      <c r="D4" s="191"/>
      <c r="E4" s="191"/>
      <c r="F4" s="191"/>
      <c r="G4" s="191"/>
      <c r="H4" s="191"/>
      <c r="I4" s="191"/>
      <c r="J4" s="191"/>
      <c r="K4" s="191"/>
      <c r="L4" s="192"/>
      <c r="M4" s="191"/>
      <c r="N4" s="191"/>
      <c r="O4" s="191"/>
      <c r="P4" s="191"/>
      <c r="Q4" s="191"/>
      <c r="R4" s="191"/>
      <c r="S4" s="191"/>
      <c r="T4" s="191"/>
      <c r="U4" s="191"/>
    </row>
    <row r="5" spans="1:21" ht="15" customHeight="1" x14ac:dyDescent="0.25"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2"/>
      <c r="M5" s="191"/>
      <c r="N5" s="191"/>
      <c r="O5" s="191"/>
      <c r="P5" s="191"/>
      <c r="Q5" s="191"/>
      <c r="R5" s="191"/>
      <c r="S5" s="191"/>
      <c r="T5" s="191"/>
      <c r="U5" s="191"/>
    </row>
    <row r="6" spans="1:21" ht="159" customHeight="1" x14ac:dyDescent="0.25"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2"/>
      <c r="M6" s="191"/>
      <c r="N6" s="191"/>
      <c r="O6" s="191"/>
      <c r="P6" s="191"/>
      <c r="Q6" s="191"/>
      <c r="R6" s="191"/>
      <c r="S6" s="191"/>
      <c r="T6" s="191"/>
      <c r="U6" s="191"/>
    </row>
    <row r="8" spans="1:21" s="13" customFormat="1" ht="96.75" customHeight="1" x14ac:dyDescent="0.3">
      <c r="B8" s="188" t="s">
        <v>6</v>
      </c>
      <c r="C8" s="188" t="s">
        <v>253</v>
      </c>
      <c r="D8" s="188" t="s">
        <v>254</v>
      </c>
      <c r="E8" s="188"/>
      <c r="F8" s="187" t="s">
        <v>255</v>
      </c>
      <c r="G8" s="187" t="s">
        <v>256</v>
      </c>
      <c r="H8" s="187" t="s">
        <v>257</v>
      </c>
      <c r="I8" s="187" t="s">
        <v>258</v>
      </c>
      <c r="J8" s="188" t="s">
        <v>259</v>
      </c>
      <c r="K8" s="188"/>
      <c r="L8" s="195" t="s">
        <v>1066</v>
      </c>
      <c r="M8" s="190" t="s">
        <v>1068</v>
      </c>
      <c r="N8" s="190" t="s">
        <v>1069</v>
      </c>
      <c r="O8" s="188" t="s">
        <v>260</v>
      </c>
      <c r="P8" s="186" t="s">
        <v>261</v>
      </c>
      <c r="Q8" s="186"/>
      <c r="R8" s="186"/>
      <c r="S8" s="186"/>
      <c r="T8" s="185" t="s">
        <v>262</v>
      </c>
      <c r="U8" s="185" t="s">
        <v>263</v>
      </c>
    </row>
    <row r="9" spans="1:21" s="13" customFormat="1" ht="339.75" customHeight="1" x14ac:dyDescent="0.3">
      <c r="B9" s="188"/>
      <c r="C9" s="188"/>
      <c r="D9" s="187" t="s">
        <v>264</v>
      </c>
      <c r="E9" s="187" t="s">
        <v>265</v>
      </c>
      <c r="F9" s="188"/>
      <c r="G9" s="188"/>
      <c r="H9" s="188"/>
      <c r="I9" s="188"/>
      <c r="J9" s="187" t="s">
        <v>266</v>
      </c>
      <c r="K9" s="187" t="s">
        <v>1067</v>
      </c>
      <c r="L9" s="196"/>
      <c r="M9" s="190"/>
      <c r="N9" s="190"/>
      <c r="O9" s="188"/>
      <c r="P9" s="185" t="s">
        <v>266</v>
      </c>
      <c r="Q9" s="185" t="s">
        <v>267</v>
      </c>
      <c r="R9" s="185" t="s">
        <v>268</v>
      </c>
      <c r="S9" s="185" t="s">
        <v>1070</v>
      </c>
      <c r="T9" s="186"/>
      <c r="U9" s="186"/>
    </row>
    <row r="10" spans="1:21" s="13" customFormat="1" ht="45" customHeight="1" x14ac:dyDescent="0.3"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96"/>
      <c r="M10" s="190"/>
      <c r="N10" s="190"/>
      <c r="O10" s="188"/>
      <c r="P10" s="186"/>
      <c r="Q10" s="185"/>
      <c r="R10" s="185"/>
      <c r="S10" s="185"/>
      <c r="T10" s="186"/>
      <c r="U10" s="186"/>
    </row>
    <row r="11" spans="1:21" s="13" customFormat="1" ht="48" customHeight="1" x14ac:dyDescent="0.3">
      <c r="B11" s="189"/>
      <c r="C11" s="189"/>
      <c r="D11" s="189"/>
      <c r="E11" s="189"/>
      <c r="F11" s="188"/>
      <c r="G11" s="189"/>
      <c r="H11" s="189"/>
      <c r="I11" s="171" t="s">
        <v>38</v>
      </c>
      <c r="J11" s="171" t="s">
        <v>38</v>
      </c>
      <c r="K11" s="171" t="s">
        <v>38</v>
      </c>
      <c r="L11" s="44" t="s">
        <v>269</v>
      </c>
      <c r="M11" s="190"/>
      <c r="N11" s="190"/>
      <c r="O11" s="188"/>
      <c r="P11" s="45" t="s">
        <v>36</v>
      </c>
      <c r="Q11" s="45" t="s">
        <v>36</v>
      </c>
      <c r="R11" s="45" t="s">
        <v>36</v>
      </c>
      <c r="S11" s="45" t="s">
        <v>36</v>
      </c>
      <c r="T11" s="45" t="s">
        <v>270</v>
      </c>
      <c r="U11" s="45" t="s">
        <v>270</v>
      </c>
    </row>
    <row r="12" spans="1:21" s="13" customFormat="1" ht="40.5" customHeight="1" x14ac:dyDescent="0.3">
      <c r="B12" s="171">
        <v>1</v>
      </c>
      <c r="C12" s="171">
        <v>2</v>
      </c>
      <c r="D12" s="171">
        <v>3</v>
      </c>
      <c r="E12" s="171">
        <v>4</v>
      </c>
      <c r="F12" s="171">
        <v>5</v>
      </c>
      <c r="G12" s="171">
        <v>6</v>
      </c>
      <c r="H12" s="171">
        <v>7</v>
      </c>
      <c r="I12" s="171">
        <v>8</v>
      </c>
      <c r="J12" s="171">
        <v>9</v>
      </c>
      <c r="K12" s="171">
        <v>10</v>
      </c>
      <c r="L12" s="44">
        <v>11</v>
      </c>
      <c r="M12" s="171">
        <v>12</v>
      </c>
      <c r="N12" s="171">
        <v>13</v>
      </c>
      <c r="O12" s="170">
        <v>14</v>
      </c>
      <c r="P12" s="171">
        <v>15</v>
      </c>
      <c r="Q12" s="171">
        <v>16</v>
      </c>
      <c r="R12" s="171">
        <v>17</v>
      </c>
      <c r="S12" s="171">
        <v>18</v>
      </c>
      <c r="T12" s="171">
        <v>19</v>
      </c>
      <c r="U12" s="171">
        <v>20</v>
      </c>
    </row>
    <row r="13" spans="1:21" s="64" customFormat="1" ht="36" customHeight="1" x14ac:dyDescent="0.9">
      <c r="A13" s="109"/>
      <c r="B13" s="94" t="s">
        <v>795</v>
      </c>
      <c r="C13" s="95"/>
      <c r="D13" s="138" t="s">
        <v>934</v>
      </c>
      <c r="E13" s="138" t="s">
        <v>934</v>
      </c>
      <c r="F13" s="138" t="s">
        <v>934</v>
      </c>
      <c r="G13" s="138" t="s">
        <v>934</v>
      </c>
      <c r="H13" s="138" t="s">
        <v>934</v>
      </c>
      <c r="I13" s="129">
        <f>I14+I559+I921</f>
        <v>2607199.4699999997</v>
      </c>
      <c r="J13" s="129">
        <f>J14+J559+J921</f>
        <v>2113990.3200000003</v>
      </c>
      <c r="K13" s="129">
        <f>K14+K559+K921</f>
        <v>1924452.2090000005</v>
      </c>
      <c r="L13" s="139">
        <f>L14+L559+L921</f>
        <v>98734</v>
      </c>
      <c r="M13" s="138" t="s">
        <v>934</v>
      </c>
      <c r="N13" s="138" t="s">
        <v>934</v>
      </c>
      <c r="O13" s="136" t="s">
        <v>934</v>
      </c>
      <c r="P13" s="129">
        <f>P14+P559+P921</f>
        <v>3277602434.1900005</v>
      </c>
      <c r="Q13" s="129">
        <f>Q14+Q559+Q921</f>
        <v>0</v>
      </c>
      <c r="R13" s="129">
        <f>R14+R559+R921</f>
        <v>9466403.9299999997</v>
      </c>
      <c r="S13" s="129">
        <f>S14+S559+S921</f>
        <v>3268136030.2600007</v>
      </c>
      <c r="T13" s="130">
        <f>P13/I13</f>
        <v>1257.1352794076784</v>
      </c>
      <c r="U13" s="130">
        <f>MAX(U14:U1192)</f>
        <v>19957.488267326735</v>
      </c>
    </row>
    <row r="14" spans="1:21" s="64" customFormat="1" ht="36" customHeight="1" x14ac:dyDescent="0.9">
      <c r="B14" s="94" t="s">
        <v>796</v>
      </c>
      <c r="C14" s="95"/>
      <c r="D14" s="138" t="s">
        <v>934</v>
      </c>
      <c r="E14" s="138" t="s">
        <v>934</v>
      </c>
      <c r="F14" s="138" t="s">
        <v>934</v>
      </c>
      <c r="G14" s="138" t="s">
        <v>934</v>
      </c>
      <c r="H14" s="138" t="s">
        <v>934</v>
      </c>
      <c r="I14" s="129">
        <f>I15+I129+I162+I203+I237+I244+I273+I281+I288+I293+I295+I298+I304+I310+I312+I330+I348+I355+I359+I362+I366+I370+I372+I388+I391+I393+I395+I400+I403+I405+I410+I412+I419+I421+I423+I429+I431+I436+I444+I450+I453+I463+I467+I469+I471+I473+I475+I477+I483+I495+I504+I506+I508+I514+I516+I518+I520+I522+I524+I531+I533+I536+I538+I547+I553+I557+I465</f>
        <v>1278733.6099999996</v>
      </c>
      <c r="J14" s="129">
        <f>J15+J129+J162+J203+J237+J244+J273+J281+J288+J293+J295+J298+J304+J310+J312+J330+J348+J355+J359+J362+J366+J370+J372+J388+J391+J393+J395+J400+J403+J405+J410+J412+J419+J421+J423+J429+J431+J436+J444+J450+J453+J463+J467+J469+J471+J473+J475+J477+J483+J495+J504+J506+J508+J514+J516+J518+J520+J522+J524+J531+J533+J536+J538+J547+J553+J557+J465</f>
        <v>1040656.2699999999</v>
      </c>
      <c r="K14" s="129">
        <f>K15+K129+K162+K203+K237+K244+K273+K281+K288+K293+K295+K298+K304+K310+K312+K330+K348+K355+K359+K362+K366+K370+K372+K388+K391+K393+K395+K400+K403+K405+K410+K412+K419+K421+K423+K429+K431+K436+K444+K450+K453+K463+K467+K469+K471+K473+K475+K477+K483+K495+K504+K506+K508+K514+K516+K518+K520+K522+K524+K531+K533+K536+K538+K547+K553+K557+K465</f>
        <v>968187.89900000021</v>
      </c>
      <c r="L14" s="139">
        <f>L15+L129+L162+L203+L237+L244+L273+L281+L288+L293+L295+L298+L304+L310+L312+L330+L348+L355+L359+L362+L366+L370+L372+L388+L391+L393+L395+L400+L403+L405+L410+L412+L419+L421+L423+L429+L431+L436+L444+L450+L453+L463+L467+L469+L471+L473+L475+L477+L483+L495+L504+L506+L508+L514+L516+L518+L520+L522+L524+L531+L533+L536+L538+L547+L553+L557+L465</f>
        <v>47591</v>
      </c>
      <c r="M14" s="138" t="s">
        <v>934</v>
      </c>
      <c r="N14" s="138" t="s">
        <v>934</v>
      </c>
      <c r="O14" s="136" t="s">
        <v>934</v>
      </c>
      <c r="P14" s="129">
        <v>1686794801.2800004</v>
      </c>
      <c r="Q14" s="129">
        <f>Q15+Q129+Q162+Q203+Q237+Q244+Q273+Q281+Q288+Q293+Q295+Q298+Q304+Q310+Q312+Q330+Q348+Q355+Q359+Q362+Q366+Q370+Q372+Q388+Q391+Q393+Q395+Q400+Q403+Q405+Q410+Q412+Q419+Q421+Q423+Q429+Q431+Q436+Q444+Q450+Q453+Q463+Q467+Q469+Q471+Q473+Q475+Q477+Q483+Q495+Q504+Q506+Q508+Q514+Q516+Q518+Q520+Q522+Q524+Q531+Q533+Q536+Q538+Q547+Q553+Q557+Q465</f>
        <v>0</v>
      </c>
      <c r="R14" s="129">
        <f>R15+R129+R162+R203+R237+R244+R273+R281+R288+R293+R295+R298+R304+R310+R312+R330+R348+R355+R359+R362+R366+R370+R372+R388+R391+R393+R395+R400+R403+R405+R410+R412+R419+R421+R423+R429+R431+R436+R444+R450+R453+R463+R467+R469+R471+R473+R475+R477+R483+R495+R504+R506+R508+R514+R516+R518+R520+R522+R524+R531+R533+R536+R538+R547+R553+R557+R465</f>
        <v>5091410.0600000005</v>
      </c>
      <c r="S14" s="129">
        <f>S15+S129+S162+S203+S237+S244+S273+S281+S288+S293+S295+S298+S304+S310+S312+S330+S348+S355+S359+S362+S366+S370+S372+S388+S391+S393+S395+S400+S403+S405+S410+S412+S419+S421+S423+S429+S431+S436+S444+S450+S453+S463+S467+S469+S471+S473+S475+S477+S483+S495+S504+S506+S508+S514+S516+S518+S520+S522+S524+S531+S533+S536+S538+S547+S553+S557+S465</f>
        <v>1681703391.2200003</v>
      </c>
      <c r="T14" s="130">
        <f t="shared" ref="T14:T77" si="0">P14/I14</f>
        <v>1319.1135261393504</v>
      </c>
      <c r="U14" s="130">
        <f>MAX(U15:U558)</f>
        <v>19957.488267326735</v>
      </c>
    </row>
    <row r="15" spans="1:21" s="64" customFormat="1" ht="36" customHeight="1" x14ac:dyDescent="0.9">
      <c r="B15" s="94" t="s">
        <v>1159</v>
      </c>
      <c r="C15" s="121"/>
      <c r="D15" s="138" t="s">
        <v>934</v>
      </c>
      <c r="E15" s="138" t="s">
        <v>934</v>
      </c>
      <c r="F15" s="138" t="s">
        <v>934</v>
      </c>
      <c r="G15" s="138" t="s">
        <v>934</v>
      </c>
      <c r="H15" s="138" t="s">
        <v>934</v>
      </c>
      <c r="I15" s="129">
        <f>SUM(I16:I128)</f>
        <v>341940.93</v>
      </c>
      <c r="J15" s="129">
        <f t="shared" ref="J15:L15" si="1">SUM(J16:J128)</f>
        <v>294090.2</v>
      </c>
      <c r="K15" s="129">
        <f t="shared" si="1"/>
        <v>271972.23</v>
      </c>
      <c r="L15" s="139">
        <f t="shared" si="1"/>
        <v>13210</v>
      </c>
      <c r="M15" s="138" t="s">
        <v>934</v>
      </c>
      <c r="N15" s="138" t="s">
        <v>934</v>
      </c>
      <c r="O15" s="136" t="s">
        <v>934</v>
      </c>
      <c r="P15" s="129">
        <v>383462452.64000016</v>
      </c>
      <c r="Q15" s="129">
        <f>SUM(Q16:Q128)</f>
        <v>0</v>
      </c>
      <c r="R15" s="129">
        <f>SUM(R16:R128)</f>
        <v>0</v>
      </c>
      <c r="S15" s="129">
        <f>SUM(S16:S128)</f>
        <v>383462452.64000016</v>
      </c>
      <c r="T15" s="130">
        <f t="shared" si="0"/>
        <v>1121.4289340559499</v>
      </c>
      <c r="U15" s="130">
        <f>MAX(U16:U128)</f>
        <v>9433.0975030303034</v>
      </c>
    </row>
    <row r="16" spans="1:21" s="64" customFormat="1" ht="36" customHeight="1" x14ac:dyDescent="0.9">
      <c r="A16" s="64">
        <v>1</v>
      </c>
      <c r="B16" s="96">
        <f>SUBTOTAL(103,$A16:A$16)</f>
        <v>1</v>
      </c>
      <c r="C16" s="94" t="s">
        <v>498</v>
      </c>
      <c r="D16" s="138">
        <v>1994</v>
      </c>
      <c r="E16" s="138"/>
      <c r="F16" s="167" t="s">
        <v>273</v>
      </c>
      <c r="G16" s="138">
        <v>5</v>
      </c>
      <c r="H16" s="138">
        <v>1</v>
      </c>
      <c r="I16" s="130">
        <v>1202.5999999999999</v>
      </c>
      <c r="J16" s="130">
        <v>621</v>
      </c>
      <c r="K16" s="130">
        <v>532</v>
      </c>
      <c r="L16" s="139">
        <v>52</v>
      </c>
      <c r="M16" s="138" t="s">
        <v>271</v>
      </c>
      <c r="N16" s="138" t="s">
        <v>275</v>
      </c>
      <c r="O16" s="136" t="s">
        <v>1035</v>
      </c>
      <c r="P16" s="130">
        <v>2167472.79</v>
      </c>
      <c r="Q16" s="130">
        <v>0</v>
      </c>
      <c r="R16" s="130">
        <v>0</v>
      </c>
      <c r="S16" s="130">
        <f>P16-Q16-R16</f>
        <v>2167472.79</v>
      </c>
      <c r="T16" s="130">
        <f t="shared" si="0"/>
        <v>1802.3222933643774</v>
      </c>
      <c r="U16" s="130">
        <v>2624.0895725927162</v>
      </c>
    </row>
    <row r="17" spans="1:21" s="64" customFormat="1" ht="36" customHeight="1" x14ac:dyDescent="0.9">
      <c r="A17" s="64">
        <v>1</v>
      </c>
      <c r="B17" s="96">
        <f>SUBTOTAL(103,$A$16:A17)</f>
        <v>2</v>
      </c>
      <c r="C17" s="94" t="s">
        <v>1131</v>
      </c>
      <c r="D17" s="138">
        <v>1959</v>
      </c>
      <c r="E17" s="138"/>
      <c r="F17" s="167" t="s">
        <v>273</v>
      </c>
      <c r="G17" s="138">
        <v>2</v>
      </c>
      <c r="H17" s="138">
        <v>2</v>
      </c>
      <c r="I17" s="130">
        <v>648.29999999999995</v>
      </c>
      <c r="J17" s="130">
        <v>389.3</v>
      </c>
      <c r="K17" s="130">
        <v>262.89999999999998</v>
      </c>
      <c r="L17" s="139">
        <v>47</v>
      </c>
      <c r="M17" s="138" t="s">
        <v>271</v>
      </c>
      <c r="N17" s="138" t="s">
        <v>275</v>
      </c>
      <c r="O17" s="136" t="s">
        <v>1139</v>
      </c>
      <c r="P17" s="130">
        <v>2182589</v>
      </c>
      <c r="Q17" s="130">
        <v>0</v>
      </c>
      <c r="R17" s="130">
        <v>0</v>
      </c>
      <c r="S17" s="130">
        <f t="shared" ref="S17:S74" si="2">P17-Q17-R17</f>
        <v>2182589</v>
      </c>
      <c r="T17" s="130">
        <f t="shared" si="0"/>
        <v>3366.6342742557458</v>
      </c>
      <c r="U17" s="130">
        <v>4662.5482029924424</v>
      </c>
    </row>
    <row r="18" spans="1:21" s="64" customFormat="1" ht="36" customHeight="1" x14ac:dyDescent="0.9">
      <c r="A18" s="64">
        <v>1</v>
      </c>
      <c r="B18" s="96">
        <f>SUBTOTAL(103,$A$16:A18)</f>
        <v>3</v>
      </c>
      <c r="C18" s="94" t="s">
        <v>499</v>
      </c>
      <c r="D18" s="138">
        <v>1992</v>
      </c>
      <c r="E18" s="138"/>
      <c r="F18" s="167" t="s">
        <v>273</v>
      </c>
      <c r="G18" s="138">
        <v>9</v>
      </c>
      <c r="H18" s="138">
        <v>1</v>
      </c>
      <c r="I18" s="130">
        <v>4744.5</v>
      </c>
      <c r="J18" s="130">
        <v>4654.5</v>
      </c>
      <c r="K18" s="130">
        <v>4462.8</v>
      </c>
      <c r="L18" s="139">
        <v>245</v>
      </c>
      <c r="M18" s="138" t="s">
        <v>271</v>
      </c>
      <c r="N18" s="138" t="s">
        <v>275</v>
      </c>
      <c r="O18" s="136" t="s">
        <v>357</v>
      </c>
      <c r="P18" s="130">
        <v>2146111.33</v>
      </c>
      <c r="Q18" s="130">
        <v>0</v>
      </c>
      <c r="R18" s="130">
        <v>0</v>
      </c>
      <c r="S18" s="130">
        <f t="shared" si="2"/>
        <v>2146111.33</v>
      </c>
      <c r="T18" s="130">
        <f t="shared" si="0"/>
        <v>452.33666982822217</v>
      </c>
      <c r="U18" s="130">
        <v>473.8756454842449</v>
      </c>
    </row>
    <row r="19" spans="1:21" s="64" customFormat="1" ht="36" customHeight="1" x14ac:dyDescent="0.9">
      <c r="A19" s="64">
        <v>1</v>
      </c>
      <c r="B19" s="96">
        <f>SUBTOTAL(103,$A$16:A19)</f>
        <v>4</v>
      </c>
      <c r="C19" s="94" t="s">
        <v>500</v>
      </c>
      <c r="D19" s="138">
        <v>1984</v>
      </c>
      <c r="E19" s="138"/>
      <c r="F19" s="167" t="s">
        <v>273</v>
      </c>
      <c r="G19" s="138">
        <v>12</v>
      </c>
      <c r="H19" s="138">
        <v>1</v>
      </c>
      <c r="I19" s="130">
        <v>6206.9</v>
      </c>
      <c r="J19" s="130">
        <v>5105</v>
      </c>
      <c r="K19" s="130">
        <v>4811</v>
      </c>
      <c r="L19" s="139">
        <v>242</v>
      </c>
      <c r="M19" s="138" t="s">
        <v>271</v>
      </c>
      <c r="N19" s="138" t="s">
        <v>275</v>
      </c>
      <c r="O19" s="136" t="s">
        <v>1035</v>
      </c>
      <c r="P19" s="130">
        <v>2530096.7899999996</v>
      </c>
      <c r="Q19" s="130">
        <v>0</v>
      </c>
      <c r="R19" s="130">
        <v>0</v>
      </c>
      <c r="S19" s="130">
        <f t="shared" si="2"/>
        <v>2530096.7899999996</v>
      </c>
      <c r="T19" s="130">
        <f t="shared" si="0"/>
        <v>407.62647859640072</v>
      </c>
      <c r="U19" s="130">
        <v>584.3941420032545</v>
      </c>
    </row>
    <row r="20" spans="1:21" s="64" customFormat="1" ht="36" customHeight="1" x14ac:dyDescent="0.9">
      <c r="A20" s="64">
        <v>1</v>
      </c>
      <c r="B20" s="96">
        <f>SUBTOTAL(103,$A$16:A20)</f>
        <v>5</v>
      </c>
      <c r="C20" s="94" t="s">
        <v>501</v>
      </c>
      <c r="D20" s="138">
        <v>1978</v>
      </c>
      <c r="E20" s="138"/>
      <c r="F20" s="167" t="s">
        <v>319</v>
      </c>
      <c r="G20" s="138">
        <v>9</v>
      </c>
      <c r="H20" s="138">
        <v>2</v>
      </c>
      <c r="I20" s="130">
        <v>4413.8999999999996</v>
      </c>
      <c r="J20" s="130">
        <v>3930.4</v>
      </c>
      <c r="K20" s="130">
        <v>3880.5</v>
      </c>
      <c r="L20" s="139">
        <v>188</v>
      </c>
      <c r="M20" s="138" t="s">
        <v>271</v>
      </c>
      <c r="N20" s="138" t="s">
        <v>275</v>
      </c>
      <c r="O20" s="136" t="s">
        <v>1035</v>
      </c>
      <c r="P20" s="130">
        <v>3370794.11</v>
      </c>
      <c r="Q20" s="130">
        <v>0</v>
      </c>
      <c r="R20" s="130">
        <v>0</v>
      </c>
      <c r="S20" s="130">
        <f t="shared" si="2"/>
        <v>3370794.11</v>
      </c>
      <c r="T20" s="130">
        <f t="shared" si="0"/>
        <v>763.6770452434356</v>
      </c>
      <c r="U20" s="130">
        <v>1082.0166745961624</v>
      </c>
    </row>
    <row r="21" spans="1:21" s="64" customFormat="1" ht="36" customHeight="1" x14ac:dyDescent="0.9">
      <c r="A21" s="64">
        <v>1</v>
      </c>
      <c r="B21" s="96">
        <f>SUBTOTAL(103,$A$16:A21)</f>
        <v>6</v>
      </c>
      <c r="C21" s="94" t="s">
        <v>502</v>
      </c>
      <c r="D21" s="138">
        <v>1957</v>
      </c>
      <c r="E21" s="138"/>
      <c r="F21" s="167" t="s">
        <v>273</v>
      </c>
      <c r="G21" s="138">
        <v>2</v>
      </c>
      <c r="H21" s="138">
        <v>1</v>
      </c>
      <c r="I21" s="130">
        <v>731.7</v>
      </c>
      <c r="J21" s="130">
        <v>435.3</v>
      </c>
      <c r="K21" s="130">
        <v>386</v>
      </c>
      <c r="L21" s="139">
        <v>21</v>
      </c>
      <c r="M21" s="138" t="s">
        <v>271</v>
      </c>
      <c r="N21" s="138" t="s">
        <v>275</v>
      </c>
      <c r="O21" s="136" t="s">
        <v>1036</v>
      </c>
      <c r="P21" s="130">
        <v>2010905.54</v>
      </c>
      <c r="Q21" s="130">
        <v>0</v>
      </c>
      <c r="R21" s="130">
        <v>0</v>
      </c>
      <c r="S21" s="130">
        <f t="shared" si="2"/>
        <v>2010905.54</v>
      </c>
      <c r="T21" s="130">
        <f t="shared" si="0"/>
        <v>2748.2650539838733</v>
      </c>
      <c r="U21" s="130">
        <v>4050.361496514965</v>
      </c>
    </row>
    <row r="22" spans="1:21" s="64" customFormat="1" ht="36" customHeight="1" x14ac:dyDescent="0.9">
      <c r="A22" s="64">
        <v>1</v>
      </c>
      <c r="B22" s="96">
        <f>SUBTOTAL(103,$A$16:A22)</f>
        <v>7</v>
      </c>
      <c r="C22" s="94" t="s">
        <v>503</v>
      </c>
      <c r="D22" s="138">
        <v>1986</v>
      </c>
      <c r="E22" s="138"/>
      <c r="F22" s="167" t="s">
        <v>319</v>
      </c>
      <c r="G22" s="138">
        <v>9</v>
      </c>
      <c r="H22" s="138">
        <v>2</v>
      </c>
      <c r="I22" s="130">
        <v>4945.3999999999996</v>
      </c>
      <c r="J22" s="130">
        <v>3861.7</v>
      </c>
      <c r="K22" s="130">
        <v>3562.6</v>
      </c>
      <c r="L22" s="139">
        <v>203</v>
      </c>
      <c r="M22" s="138" t="s">
        <v>271</v>
      </c>
      <c r="N22" s="138" t="s">
        <v>275</v>
      </c>
      <c r="O22" s="136" t="s">
        <v>1037</v>
      </c>
      <c r="P22" s="130">
        <v>2376623.19</v>
      </c>
      <c r="Q22" s="130">
        <v>0</v>
      </c>
      <c r="R22" s="130">
        <v>0</v>
      </c>
      <c r="S22" s="130">
        <f t="shared" si="2"/>
        <v>2376623.19</v>
      </c>
      <c r="T22" s="130">
        <f t="shared" si="0"/>
        <v>480.57248958628224</v>
      </c>
      <c r="U22" s="130">
        <v>680.89966837869542</v>
      </c>
    </row>
    <row r="23" spans="1:21" s="64" customFormat="1" ht="36" customHeight="1" x14ac:dyDescent="0.9">
      <c r="A23" s="64">
        <v>1</v>
      </c>
      <c r="B23" s="96">
        <f>SUBTOTAL(103,$A$16:A23)</f>
        <v>8</v>
      </c>
      <c r="C23" s="94" t="s">
        <v>504</v>
      </c>
      <c r="D23" s="138">
        <v>1969</v>
      </c>
      <c r="E23" s="138"/>
      <c r="F23" s="167" t="s">
        <v>273</v>
      </c>
      <c r="G23" s="138">
        <v>5</v>
      </c>
      <c r="H23" s="138">
        <v>4</v>
      </c>
      <c r="I23" s="130">
        <v>4124.2</v>
      </c>
      <c r="J23" s="130">
        <v>3012</v>
      </c>
      <c r="K23" s="130">
        <v>2927.7</v>
      </c>
      <c r="L23" s="139">
        <v>141</v>
      </c>
      <c r="M23" s="138" t="s">
        <v>271</v>
      </c>
      <c r="N23" s="138" t="s">
        <v>275</v>
      </c>
      <c r="O23" s="136" t="s">
        <v>1037</v>
      </c>
      <c r="P23" s="130">
        <v>3923557.16</v>
      </c>
      <c r="Q23" s="130">
        <v>0</v>
      </c>
      <c r="R23" s="130">
        <v>0</v>
      </c>
      <c r="S23" s="130">
        <f t="shared" si="2"/>
        <v>3923557.16</v>
      </c>
      <c r="T23" s="130">
        <f t="shared" si="0"/>
        <v>951.34987633965386</v>
      </c>
      <c r="U23" s="130">
        <v>1366.172523156006</v>
      </c>
    </row>
    <row r="24" spans="1:21" s="64" customFormat="1" ht="36" customHeight="1" x14ac:dyDescent="0.9">
      <c r="A24" s="64">
        <v>1</v>
      </c>
      <c r="B24" s="96">
        <f>SUBTOTAL(103,$A$16:A24)</f>
        <v>9</v>
      </c>
      <c r="C24" s="94" t="s">
        <v>505</v>
      </c>
      <c r="D24" s="138">
        <v>1955</v>
      </c>
      <c r="E24" s="138"/>
      <c r="F24" s="167" t="s">
        <v>273</v>
      </c>
      <c r="G24" s="138">
        <v>3</v>
      </c>
      <c r="H24" s="138">
        <v>2</v>
      </c>
      <c r="I24" s="130">
        <v>1722.8</v>
      </c>
      <c r="J24" s="130">
        <v>1108.2</v>
      </c>
      <c r="K24" s="130">
        <v>1058.5999999999999</v>
      </c>
      <c r="L24" s="139">
        <v>52</v>
      </c>
      <c r="M24" s="138" t="s">
        <v>271</v>
      </c>
      <c r="N24" s="138" t="s">
        <v>275</v>
      </c>
      <c r="O24" s="136" t="s">
        <v>1038</v>
      </c>
      <c r="P24" s="130">
        <v>2869655.8400000003</v>
      </c>
      <c r="Q24" s="130">
        <v>0</v>
      </c>
      <c r="R24" s="130">
        <v>0</v>
      </c>
      <c r="S24" s="130">
        <f t="shared" si="2"/>
        <v>2869655.8400000003</v>
      </c>
      <c r="T24" s="130">
        <f t="shared" si="0"/>
        <v>1665.6929649407944</v>
      </c>
      <c r="U24" s="130">
        <v>2119.4902716508009</v>
      </c>
    </row>
    <row r="25" spans="1:21" s="64" customFormat="1" ht="36" customHeight="1" x14ac:dyDescent="0.9">
      <c r="A25" s="64">
        <v>1</v>
      </c>
      <c r="B25" s="96">
        <f>SUBTOTAL(103,$A$16:A25)</f>
        <v>10</v>
      </c>
      <c r="C25" s="94" t="s">
        <v>506</v>
      </c>
      <c r="D25" s="138">
        <v>1990</v>
      </c>
      <c r="E25" s="138"/>
      <c r="F25" s="167" t="s">
        <v>273</v>
      </c>
      <c r="G25" s="138">
        <v>3</v>
      </c>
      <c r="H25" s="138">
        <v>1</v>
      </c>
      <c r="I25" s="130">
        <v>620.29999999999995</v>
      </c>
      <c r="J25" s="130">
        <v>538.5</v>
      </c>
      <c r="K25" s="130">
        <v>538.5</v>
      </c>
      <c r="L25" s="139">
        <v>23</v>
      </c>
      <c r="M25" s="138" t="s">
        <v>271</v>
      </c>
      <c r="N25" s="138" t="s">
        <v>275</v>
      </c>
      <c r="O25" s="136" t="s">
        <v>358</v>
      </c>
      <c r="P25" s="130">
        <v>1485498.48</v>
      </c>
      <c r="Q25" s="130">
        <v>0</v>
      </c>
      <c r="R25" s="130">
        <v>0</v>
      </c>
      <c r="S25" s="130">
        <f t="shared" si="2"/>
        <v>1485498.48</v>
      </c>
      <c r="T25" s="130">
        <f t="shared" si="0"/>
        <v>2394.8065129775914</v>
      </c>
      <c r="U25" s="130">
        <v>3508.5694019023058</v>
      </c>
    </row>
    <row r="26" spans="1:21" s="64" customFormat="1" ht="36" customHeight="1" x14ac:dyDescent="0.9">
      <c r="A26" s="64">
        <v>1</v>
      </c>
      <c r="B26" s="96">
        <f>SUBTOTAL(103,$A$16:A26)</f>
        <v>11</v>
      </c>
      <c r="C26" s="94" t="s">
        <v>507</v>
      </c>
      <c r="D26" s="138">
        <v>1989</v>
      </c>
      <c r="E26" s="138"/>
      <c r="F26" s="167" t="s">
        <v>273</v>
      </c>
      <c r="G26" s="138">
        <v>5</v>
      </c>
      <c r="H26" s="138">
        <v>3</v>
      </c>
      <c r="I26" s="130">
        <v>2454.8000000000002</v>
      </c>
      <c r="J26" s="130">
        <v>1749.7</v>
      </c>
      <c r="K26" s="130">
        <v>1749.7</v>
      </c>
      <c r="L26" s="139">
        <v>61</v>
      </c>
      <c r="M26" s="138" t="s">
        <v>271</v>
      </c>
      <c r="N26" s="138" t="s">
        <v>275</v>
      </c>
      <c r="O26" s="136" t="s">
        <v>1039</v>
      </c>
      <c r="P26" s="130">
        <v>2576347.41</v>
      </c>
      <c r="Q26" s="130">
        <v>0</v>
      </c>
      <c r="R26" s="130">
        <v>0</v>
      </c>
      <c r="S26" s="130">
        <f t="shared" si="2"/>
        <v>2576347.41</v>
      </c>
      <c r="T26" s="130">
        <f t="shared" si="0"/>
        <v>1049.5141803812937</v>
      </c>
      <c r="U26" s="130">
        <v>1507.1783933518004</v>
      </c>
    </row>
    <row r="27" spans="1:21" s="64" customFormat="1" ht="36" customHeight="1" x14ac:dyDescent="0.9">
      <c r="A27" s="64">
        <v>1</v>
      </c>
      <c r="B27" s="96">
        <f>SUBTOTAL(103,$A$16:A27)</f>
        <v>12</v>
      </c>
      <c r="C27" s="94" t="s">
        <v>508</v>
      </c>
      <c r="D27" s="138">
        <v>1995</v>
      </c>
      <c r="E27" s="138"/>
      <c r="F27" s="167" t="s">
        <v>273</v>
      </c>
      <c r="G27" s="138">
        <v>9</v>
      </c>
      <c r="H27" s="138">
        <v>1</v>
      </c>
      <c r="I27" s="130">
        <v>5292.9</v>
      </c>
      <c r="J27" s="130">
        <v>4340.07</v>
      </c>
      <c r="K27" s="130">
        <v>3967.77</v>
      </c>
      <c r="L27" s="139">
        <v>182</v>
      </c>
      <c r="M27" s="138" t="s">
        <v>271</v>
      </c>
      <c r="N27" s="138" t="s">
        <v>275</v>
      </c>
      <c r="O27" s="136" t="s">
        <v>1040</v>
      </c>
      <c r="P27" s="130">
        <v>5275854.7</v>
      </c>
      <c r="Q27" s="130">
        <v>0</v>
      </c>
      <c r="R27" s="130">
        <v>0</v>
      </c>
      <c r="S27" s="130">
        <f t="shared" si="2"/>
        <v>5275854.7</v>
      </c>
      <c r="T27" s="130">
        <f t="shared" si="0"/>
        <v>996.77959152827384</v>
      </c>
      <c r="U27" s="130">
        <v>1425.672726104782</v>
      </c>
    </row>
    <row r="28" spans="1:21" s="64" customFormat="1" ht="36" customHeight="1" x14ac:dyDescent="0.9">
      <c r="A28" s="64">
        <v>1</v>
      </c>
      <c r="B28" s="96">
        <f>SUBTOTAL(103,$A$16:A28)</f>
        <v>13</v>
      </c>
      <c r="C28" s="94" t="s">
        <v>509</v>
      </c>
      <c r="D28" s="138">
        <v>1962</v>
      </c>
      <c r="E28" s="138"/>
      <c r="F28" s="167" t="s">
        <v>273</v>
      </c>
      <c r="G28" s="138">
        <v>3</v>
      </c>
      <c r="H28" s="138">
        <v>3</v>
      </c>
      <c r="I28" s="130">
        <v>2721.6</v>
      </c>
      <c r="J28" s="130">
        <v>1752.6</v>
      </c>
      <c r="K28" s="130">
        <v>1482.9</v>
      </c>
      <c r="L28" s="139">
        <v>80</v>
      </c>
      <c r="M28" s="138" t="s">
        <v>271</v>
      </c>
      <c r="N28" s="138" t="s">
        <v>275</v>
      </c>
      <c r="O28" s="136" t="s">
        <v>1036</v>
      </c>
      <c r="P28" s="130">
        <v>3988265.4</v>
      </c>
      <c r="Q28" s="130">
        <v>0</v>
      </c>
      <c r="R28" s="130">
        <v>0</v>
      </c>
      <c r="S28" s="130">
        <f t="shared" si="2"/>
        <v>3988265.4</v>
      </c>
      <c r="T28" s="130">
        <f t="shared" si="0"/>
        <v>1465.412037037037</v>
      </c>
      <c r="U28" s="130">
        <v>2104.4491490299824</v>
      </c>
    </row>
    <row r="29" spans="1:21" s="64" customFormat="1" ht="36" customHeight="1" x14ac:dyDescent="0.9">
      <c r="A29" s="64">
        <v>1</v>
      </c>
      <c r="B29" s="96">
        <f>SUBTOTAL(103,$A$16:A29)</f>
        <v>14</v>
      </c>
      <c r="C29" s="94" t="s">
        <v>510</v>
      </c>
      <c r="D29" s="138">
        <v>1957</v>
      </c>
      <c r="E29" s="138"/>
      <c r="F29" s="167" t="s">
        <v>273</v>
      </c>
      <c r="G29" s="138">
        <v>2</v>
      </c>
      <c r="H29" s="138">
        <v>1</v>
      </c>
      <c r="I29" s="130">
        <v>718.26</v>
      </c>
      <c r="J29" s="130">
        <v>408.3</v>
      </c>
      <c r="K29" s="130">
        <v>408.3</v>
      </c>
      <c r="L29" s="139">
        <v>22</v>
      </c>
      <c r="M29" s="138" t="s">
        <v>271</v>
      </c>
      <c r="N29" s="138" t="s">
        <v>275</v>
      </c>
      <c r="O29" s="136" t="s">
        <v>1036</v>
      </c>
      <c r="P29" s="130">
        <v>1785060.8199999998</v>
      </c>
      <c r="Q29" s="130">
        <v>0</v>
      </c>
      <c r="R29" s="130">
        <v>0</v>
      </c>
      <c r="S29" s="130">
        <f t="shared" si="2"/>
        <v>1785060.8199999998</v>
      </c>
      <c r="T29" s="130">
        <f t="shared" si="0"/>
        <v>2485.2571770668001</v>
      </c>
      <c r="U29" s="130">
        <v>3710.834199315012</v>
      </c>
    </row>
    <row r="30" spans="1:21" s="64" customFormat="1" ht="36" customHeight="1" x14ac:dyDescent="0.9">
      <c r="A30" s="64">
        <v>1</v>
      </c>
      <c r="B30" s="96">
        <f>SUBTOTAL(103,$A$16:A30)</f>
        <v>15</v>
      </c>
      <c r="C30" s="94" t="s">
        <v>511</v>
      </c>
      <c r="D30" s="138">
        <v>1994</v>
      </c>
      <c r="E30" s="138"/>
      <c r="F30" s="167" t="s">
        <v>273</v>
      </c>
      <c r="G30" s="138">
        <v>6</v>
      </c>
      <c r="H30" s="138">
        <v>4</v>
      </c>
      <c r="I30" s="130">
        <v>3744.6</v>
      </c>
      <c r="J30" s="130">
        <v>2905.1</v>
      </c>
      <c r="K30" s="130">
        <v>2782.1</v>
      </c>
      <c r="L30" s="139">
        <v>138</v>
      </c>
      <c r="M30" s="138" t="s">
        <v>271</v>
      </c>
      <c r="N30" s="138" t="s">
        <v>275</v>
      </c>
      <c r="O30" s="136" t="s">
        <v>1037</v>
      </c>
      <c r="P30" s="130">
        <v>2688101.64</v>
      </c>
      <c r="Q30" s="130">
        <v>0</v>
      </c>
      <c r="R30" s="130">
        <v>0</v>
      </c>
      <c r="S30" s="130">
        <f t="shared" si="2"/>
        <v>2688101.64</v>
      </c>
      <c r="T30" s="130">
        <f t="shared" si="0"/>
        <v>717.86082358596389</v>
      </c>
      <c r="U30" s="130">
        <v>1017.1019067457138</v>
      </c>
    </row>
    <row r="31" spans="1:21" s="64" customFormat="1" ht="36" customHeight="1" x14ac:dyDescent="0.9">
      <c r="A31" s="64">
        <v>1</v>
      </c>
      <c r="B31" s="96">
        <f>SUBTOTAL(103,$A$16:A31)</f>
        <v>16</v>
      </c>
      <c r="C31" s="94" t="s">
        <v>512</v>
      </c>
      <c r="D31" s="138">
        <v>1993</v>
      </c>
      <c r="E31" s="138"/>
      <c r="F31" s="167" t="s">
        <v>273</v>
      </c>
      <c r="G31" s="138">
        <v>9</v>
      </c>
      <c r="H31" s="138">
        <v>3</v>
      </c>
      <c r="I31" s="130">
        <v>6478</v>
      </c>
      <c r="J31" s="130">
        <v>6359.39</v>
      </c>
      <c r="K31" s="130">
        <v>5823.79</v>
      </c>
      <c r="L31" s="139">
        <v>108</v>
      </c>
      <c r="M31" s="138" t="s">
        <v>271</v>
      </c>
      <c r="N31" s="138" t="s">
        <v>275</v>
      </c>
      <c r="O31" s="136" t="s">
        <v>357</v>
      </c>
      <c r="P31" s="130">
        <v>4308763.3600000003</v>
      </c>
      <c r="Q31" s="130">
        <v>0</v>
      </c>
      <c r="R31" s="130">
        <v>0</v>
      </c>
      <c r="S31" s="130">
        <f t="shared" si="2"/>
        <v>4308763.3600000003</v>
      </c>
      <c r="T31" s="130">
        <f t="shared" si="0"/>
        <v>665.13790676134613</v>
      </c>
      <c r="U31" s="130">
        <v>1118.9420407533189</v>
      </c>
    </row>
    <row r="32" spans="1:21" s="64" customFormat="1" ht="36" customHeight="1" x14ac:dyDescent="0.9">
      <c r="A32" s="64">
        <v>1</v>
      </c>
      <c r="B32" s="96">
        <f>SUBTOTAL(103,$A$16:A32)</f>
        <v>17</v>
      </c>
      <c r="C32" s="94" t="s">
        <v>513</v>
      </c>
      <c r="D32" s="138">
        <v>1992</v>
      </c>
      <c r="E32" s="138"/>
      <c r="F32" s="167" t="s">
        <v>319</v>
      </c>
      <c r="G32" s="138">
        <v>9</v>
      </c>
      <c r="H32" s="138">
        <v>8</v>
      </c>
      <c r="I32" s="130">
        <v>14455.8</v>
      </c>
      <c r="J32" s="130">
        <v>14455.58</v>
      </c>
      <c r="K32" s="130">
        <v>13861.18</v>
      </c>
      <c r="L32" s="139">
        <v>704</v>
      </c>
      <c r="M32" s="138" t="s">
        <v>271</v>
      </c>
      <c r="N32" s="138" t="s">
        <v>275</v>
      </c>
      <c r="O32" s="136" t="s">
        <v>357</v>
      </c>
      <c r="P32" s="130">
        <v>17545640</v>
      </c>
      <c r="Q32" s="130">
        <v>0</v>
      </c>
      <c r="R32" s="130">
        <v>0</v>
      </c>
      <c r="S32" s="130">
        <f t="shared" si="2"/>
        <v>17545640</v>
      </c>
      <c r="T32" s="130">
        <f t="shared" si="0"/>
        <v>1213.7439643603261</v>
      </c>
      <c r="U32" s="130">
        <v>1244.2358084644227</v>
      </c>
    </row>
    <row r="33" spans="1:21" s="64" customFormat="1" ht="36" customHeight="1" x14ac:dyDescent="0.9">
      <c r="A33" s="64">
        <v>1</v>
      </c>
      <c r="B33" s="96">
        <f>SUBTOTAL(103,$A$16:A33)</f>
        <v>18</v>
      </c>
      <c r="C33" s="94" t="s">
        <v>514</v>
      </c>
      <c r="D33" s="138">
        <v>1978</v>
      </c>
      <c r="E33" s="138"/>
      <c r="F33" s="167" t="s">
        <v>273</v>
      </c>
      <c r="G33" s="138">
        <v>5</v>
      </c>
      <c r="H33" s="138">
        <v>1</v>
      </c>
      <c r="I33" s="130">
        <v>1058.5</v>
      </c>
      <c r="J33" s="130">
        <v>777.2</v>
      </c>
      <c r="K33" s="130">
        <v>724.1</v>
      </c>
      <c r="L33" s="139">
        <v>33</v>
      </c>
      <c r="M33" s="138" t="s">
        <v>271</v>
      </c>
      <c r="N33" s="138" t="s">
        <v>275</v>
      </c>
      <c r="O33" s="136" t="s">
        <v>357</v>
      </c>
      <c r="P33" s="130">
        <v>1011238.23</v>
      </c>
      <c r="Q33" s="130">
        <v>0</v>
      </c>
      <c r="R33" s="130">
        <v>0</v>
      </c>
      <c r="S33" s="130">
        <f t="shared" si="2"/>
        <v>1011238.23</v>
      </c>
      <c r="T33" s="130">
        <f t="shared" si="0"/>
        <v>955.35024090694378</v>
      </c>
      <c r="U33" s="130">
        <v>1353.5890599905526</v>
      </c>
    </row>
    <row r="34" spans="1:21" s="64" customFormat="1" ht="36" customHeight="1" x14ac:dyDescent="0.9">
      <c r="A34" s="64">
        <v>1</v>
      </c>
      <c r="B34" s="96">
        <f>SUBTOTAL(103,$A$16:A34)</f>
        <v>19</v>
      </c>
      <c r="C34" s="94" t="s">
        <v>515</v>
      </c>
      <c r="D34" s="138">
        <v>1995</v>
      </c>
      <c r="E34" s="138"/>
      <c r="F34" s="167" t="s">
        <v>273</v>
      </c>
      <c r="G34" s="138">
        <v>9</v>
      </c>
      <c r="H34" s="138">
        <v>1</v>
      </c>
      <c r="I34" s="130">
        <v>6176.6</v>
      </c>
      <c r="J34" s="130">
        <v>4705.1000000000004</v>
      </c>
      <c r="K34" s="130">
        <v>4212.5</v>
      </c>
      <c r="L34" s="139">
        <v>299</v>
      </c>
      <c r="M34" s="138" t="s">
        <v>271</v>
      </c>
      <c r="N34" s="138" t="s">
        <v>275</v>
      </c>
      <c r="O34" s="136" t="s">
        <v>1035</v>
      </c>
      <c r="P34" s="130">
        <v>3680432.55</v>
      </c>
      <c r="Q34" s="130">
        <v>0</v>
      </c>
      <c r="R34" s="130">
        <v>0</v>
      </c>
      <c r="S34" s="130">
        <f t="shared" si="2"/>
        <v>3680432.55</v>
      </c>
      <c r="T34" s="130">
        <f t="shared" si="0"/>
        <v>595.86707088041953</v>
      </c>
      <c r="U34" s="130">
        <v>998.34361946702063</v>
      </c>
    </row>
    <row r="35" spans="1:21" s="64" customFormat="1" ht="36" customHeight="1" x14ac:dyDescent="0.9">
      <c r="A35" s="64">
        <v>1</v>
      </c>
      <c r="B35" s="96">
        <f>SUBTOTAL(103,$A$16:A35)</f>
        <v>20</v>
      </c>
      <c r="C35" s="94" t="s">
        <v>516</v>
      </c>
      <c r="D35" s="138">
        <v>1988</v>
      </c>
      <c r="E35" s="138"/>
      <c r="F35" s="167" t="s">
        <v>273</v>
      </c>
      <c r="G35" s="138">
        <v>5</v>
      </c>
      <c r="H35" s="138">
        <v>2</v>
      </c>
      <c r="I35" s="130">
        <v>1410.8</v>
      </c>
      <c r="J35" s="130">
        <v>1242.3</v>
      </c>
      <c r="K35" s="130">
        <v>1081</v>
      </c>
      <c r="L35" s="139">
        <v>70</v>
      </c>
      <c r="M35" s="138" t="s">
        <v>271</v>
      </c>
      <c r="N35" s="138" t="s">
        <v>275</v>
      </c>
      <c r="O35" s="136" t="s">
        <v>1035</v>
      </c>
      <c r="P35" s="130">
        <v>1493389.79</v>
      </c>
      <c r="Q35" s="130">
        <v>0</v>
      </c>
      <c r="R35" s="130">
        <v>0</v>
      </c>
      <c r="S35" s="130">
        <f t="shared" si="2"/>
        <v>1493389.79</v>
      </c>
      <c r="T35" s="130">
        <f t="shared" si="0"/>
        <v>1058.5411043379643</v>
      </c>
      <c r="U35" s="130">
        <v>1499.7951516869862</v>
      </c>
    </row>
    <row r="36" spans="1:21" s="64" customFormat="1" ht="36" customHeight="1" x14ac:dyDescent="0.9">
      <c r="A36" s="64">
        <v>1</v>
      </c>
      <c r="B36" s="96">
        <f>SUBTOTAL(103,$A$16:A36)</f>
        <v>21</v>
      </c>
      <c r="C36" s="94" t="s">
        <v>517</v>
      </c>
      <c r="D36" s="138">
        <v>1980</v>
      </c>
      <c r="E36" s="138"/>
      <c r="F36" s="167" t="s">
        <v>273</v>
      </c>
      <c r="G36" s="138">
        <v>5</v>
      </c>
      <c r="H36" s="138">
        <v>4</v>
      </c>
      <c r="I36" s="130">
        <v>3319.7</v>
      </c>
      <c r="J36" s="130">
        <v>3048.7</v>
      </c>
      <c r="K36" s="130">
        <v>2877.8</v>
      </c>
      <c r="L36" s="139">
        <v>147</v>
      </c>
      <c r="M36" s="138" t="s">
        <v>271</v>
      </c>
      <c r="N36" s="138" t="s">
        <v>275</v>
      </c>
      <c r="O36" s="136" t="s">
        <v>1035</v>
      </c>
      <c r="P36" s="130">
        <v>3225721.96</v>
      </c>
      <c r="Q36" s="130">
        <v>0</v>
      </c>
      <c r="R36" s="130">
        <v>0</v>
      </c>
      <c r="S36" s="130">
        <f t="shared" si="2"/>
        <v>3225721.96</v>
      </c>
      <c r="T36" s="130">
        <f t="shared" si="0"/>
        <v>971.6908033858482</v>
      </c>
      <c r="U36" s="130">
        <v>1376.7411995059795</v>
      </c>
    </row>
    <row r="37" spans="1:21" s="64" customFormat="1" ht="36" customHeight="1" x14ac:dyDescent="0.9">
      <c r="A37" s="64">
        <v>1</v>
      </c>
      <c r="B37" s="96">
        <f>SUBTOTAL(103,$A$16:A37)</f>
        <v>22</v>
      </c>
      <c r="C37" s="94" t="s">
        <v>518</v>
      </c>
      <c r="D37" s="138">
        <v>1960</v>
      </c>
      <c r="E37" s="138"/>
      <c r="F37" s="167" t="s">
        <v>273</v>
      </c>
      <c r="G37" s="138">
        <v>5</v>
      </c>
      <c r="H37" s="138">
        <v>3</v>
      </c>
      <c r="I37" s="130">
        <v>3202.4</v>
      </c>
      <c r="J37" s="130">
        <v>2438.8000000000002</v>
      </c>
      <c r="K37" s="130">
        <v>2307.6</v>
      </c>
      <c r="L37" s="139">
        <v>127</v>
      </c>
      <c r="M37" s="138" t="s">
        <v>271</v>
      </c>
      <c r="N37" s="138" t="s">
        <v>275</v>
      </c>
      <c r="O37" s="136" t="s">
        <v>1037</v>
      </c>
      <c r="P37" s="130">
        <v>6662526.4900000002</v>
      </c>
      <c r="Q37" s="130">
        <v>0</v>
      </c>
      <c r="R37" s="130">
        <v>0</v>
      </c>
      <c r="S37" s="130">
        <f t="shared" si="2"/>
        <v>6662526.4900000002</v>
      </c>
      <c r="T37" s="130">
        <f t="shared" si="0"/>
        <v>2080.4791687484385</v>
      </c>
      <c r="U37" s="130">
        <v>4493.6785473394948</v>
      </c>
    </row>
    <row r="38" spans="1:21" s="64" customFormat="1" ht="36" customHeight="1" x14ac:dyDescent="0.9">
      <c r="A38" s="64">
        <v>1</v>
      </c>
      <c r="B38" s="96">
        <f>SUBTOTAL(103,$A$16:A38)</f>
        <v>23</v>
      </c>
      <c r="C38" s="94" t="s">
        <v>519</v>
      </c>
      <c r="D38" s="138">
        <v>1968</v>
      </c>
      <c r="E38" s="138"/>
      <c r="F38" s="167" t="s">
        <v>273</v>
      </c>
      <c r="G38" s="138">
        <v>5</v>
      </c>
      <c r="H38" s="138">
        <v>5</v>
      </c>
      <c r="I38" s="130">
        <v>5459.4</v>
      </c>
      <c r="J38" s="130">
        <v>4706.8</v>
      </c>
      <c r="K38" s="130">
        <v>3495.5</v>
      </c>
      <c r="L38" s="139">
        <v>147</v>
      </c>
      <c r="M38" s="138" t="s">
        <v>271</v>
      </c>
      <c r="N38" s="138" t="s">
        <v>275</v>
      </c>
      <c r="O38" s="136" t="s">
        <v>1041</v>
      </c>
      <c r="P38" s="130">
        <v>4466002.71</v>
      </c>
      <c r="Q38" s="130">
        <v>0</v>
      </c>
      <c r="R38" s="130">
        <v>0</v>
      </c>
      <c r="S38" s="130">
        <f t="shared" si="2"/>
        <v>4466002.71</v>
      </c>
      <c r="T38" s="130">
        <f t="shared" si="0"/>
        <v>818.03910869326307</v>
      </c>
      <c r="U38" s="130">
        <v>1172.0179624134523</v>
      </c>
    </row>
    <row r="39" spans="1:21" s="64" customFormat="1" ht="36" customHeight="1" x14ac:dyDescent="0.9">
      <c r="A39" s="64">
        <v>1</v>
      </c>
      <c r="B39" s="96">
        <f>SUBTOTAL(103,$A$16:A39)</f>
        <v>24</v>
      </c>
      <c r="C39" s="94" t="s">
        <v>520</v>
      </c>
      <c r="D39" s="138">
        <v>1988</v>
      </c>
      <c r="E39" s="138"/>
      <c r="F39" s="167" t="s">
        <v>319</v>
      </c>
      <c r="G39" s="138">
        <v>5</v>
      </c>
      <c r="H39" s="138">
        <v>3</v>
      </c>
      <c r="I39" s="130">
        <v>2450</v>
      </c>
      <c r="J39" s="130">
        <v>2076.5</v>
      </c>
      <c r="K39" s="130">
        <v>2076.5</v>
      </c>
      <c r="L39" s="139">
        <v>101</v>
      </c>
      <c r="M39" s="138" t="s">
        <v>271</v>
      </c>
      <c r="N39" s="138" t="s">
        <v>275</v>
      </c>
      <c r="O39" s="136" t="s">
        <v>1041</v>
      </c>
      <c r="P39" s="130">
        <v>2419201.9300000002</v>
      </c>
      <c r="Q39" s="130">
        <v>0</v>
      </c>
      <c r="R39" s="130">
        <v>0</v>
      </c>
      <c r="S39" s="130">
        <f t="shared" si="2"/>
        <v>2419201.9300000002</v>
      </c>
      <c r="T39" s="130">
        <f t="shared" si="0"/>
        <v>987.42935918367357</v>
      </c>
      <c r="U39" s="130">
        <v>1416.389589632653</v>
      </c>
    </row>
    <row r="40" spans="1:21" s="64" customFormat="1" ht="36" customHeight="1" x14ac:dyDescent="0.9">
      <c r="A40" s="64">
        <v>1</v>
      </c>
      <c r="B40" s="96">
        <f>SUBTOTAL(103,$A$16:A40)</f>
        <v>25</v>
      </c>
      <c r="C40" s="94" t="s">
        <v>521</v>
      </c>
      <c r="D40" s="138">
        <v>1988</v>
      </c>
      <c r="E40" s="138"/>
      <c r="F40" s="167" t="s">
        <v>273</v>
      </c>
      <c r="G40" s="138">
        <v>5</v>
      </c>
      <c r="H40" s="138">
        <v>3</v>
      </c>
      <c r="I40" s="130">
        <v>4166.5</v>
      </c>
      <c r="J40" s="130">
        <v>3262.2</v>
      </c>
      <c r="K40" s="130">
        <v>3262.2</v>
      </c>
      <c r="L40" s="139">
        <v>188</v>
      </c>
      <c r="M40" s="138" t="s">
        <v>271</v>
      </c>
      <c r="N40" s="138" t="s">
        <v>275</v>
      </c>
      <c r="O40" s="136" t="s">
        <v>1042</v>
      </c>
      <c r="P40" s="130">
        <v>4747116.5999999996</v>
      </c>
      <c r="Q40" s="130">
        <v>0</v>
      </c>
      <c r="R40" s="130">
        <v>0</v>
      </c>
      <c r="S40" s="130">
        <f t="shared" si="2"/>
        <v>4747116.5999999996</v>
      </c>
      <c r="T40" s="130">
        <f t="shared" si="0"/>
        <v>1139.3535581423257</v>
      </c>
      <c r="U40" s="130">
        <v>1648.3001464058561</v>
      </c>
    </row>
    <row r="41" spans="1:21" s="64" customFormat="1" ht="36" customHeight="1" x14ac:dyDescent="0.9">
      <c r="A41" s="64">
        <v>1</v>
      </c>
      <c r="B41" s="96">
        <f>SUBTOTAL(103,$A$16:A41)</f>
        <v>26</v>
      </c>
      <c r="C41" s="94" t="s">
        <v>522</v>
      </c>
      <c r="D41" s="138">
        <v>1981</v>
      </c>
      <c r="E41" s="138"/>
      <c r="F41" s="167" t="s">
        <v>273</v>
      </c>
      <c r="G41" s="138">
        <v>5</v>
      </c>
      <c r="H41" s="138">
        <v>1</v>
      </c>
      <c r="I41" s="130">
        <v>794.8</v>
      </c>
      <c r="J41" s="130">
        <v>792.5</v>
      </c>
      <c r="K41" s="130">
        <v>792.5</v>
      </c>
      <c r="L41" s="139">
        <v>22</v>
      </c>
      <c r="M41" s="138" t="s">
        <v>271</v>
      </c>
      <c r="N41" s="138" t="s">
        <v>275</v>
      </c>
      <c r="O41" s="136" t="s">
        <v>357</v>
      </c>
      <c r="P41" s="130">
        <v>1318744.33</v>
      </c>
      <c r="Q41" s="130">
        <v>0</v>
      </c>
      <c r="R41" s="130">
        <v>0</v>
      </c>
      <c r="S41" s="130">
        <f t="shared" si="2"/>
        <v>1318744.33</v>
      </c>
      <c r="T41" s="130">
        <f t="shared" si="0"/>
        <v>1659.2153120281835</v>
      </c>
      <c r="U41" s="130">
        <v>2404.3405963764471</v>
      </c>
    </row>
    <row r="42" spans="1:21" s="64" customFormat="1" ht="36" customHeight="1" x14ac:dyDescent="0.9">
      <c r="A42" s="64">
        <v>1</v>
      </c>
      <c r="B42" s="96">
        <f>SUBTOTAL(103,$A$16:A42)</f>
        <v>27</v>
      </c>
      <c r="C42" s="94" t="s">
        <v>523</v>
      </c>
      <c r="D42" s="138">
        <v>1985</v>
      </c>
      <c r="E42" s="138"/>
      <c r="F42" s="167" t="s">
        <v>319</v>
      </c>
      <c r="G42" s="138">
        <v>2</v>
      </c>
      <c r="H42" s="138">
        <v>2</v>
      </c>
      <c r="I42" s="130">
        <v>617.79999999999995</v>
      </c>
      <c r="J42" s="130">
        <v>560.5</v>
      </c>
      <c r="K42" s="130">
        <v>560.5</v>
      </c>
      <c r="L42" s="139">
        <v>35</v>
      </c>
      <c r="M42" s="138" t="s">
        <v>271</v>
      </c>
      <c r="N42" s="138" t="s">
        <v>275</v>
      </c>
      <c r="O42" s="136" t="s">
        <v>1039</v>
      </c>
      <c r="P42" s="130">
        <v>1791261.3800000001</v>
      </c>
      <c r="Q42" s="130">
        <v>0</v>
      </c>
      <c r="R42" s="130">
        <v>0</v>
      </c>
      <c r="S42" s="130">
        <f t="shared" si="2"/>
        <v>1791261.3800000001</v>
      </c>
      <c r="T42" s="130">
        <f t="shared" si="0"/>
        <v>2899.4195208805445</v>
      </c>
      <c r="U42" s="130">
        <v>4233.1919650372292</v>
      </c>
    </row>
    <row r="43" spans="1:21" s="64" customFormat="1" ht="36" customHeight="1" x14ac:dyDescent="0.9">
      <c r="A43" s="64">
        <v>1</v>
      </c>
      <c r="B43" s="96">
        <f>SUBTOTAL(103,$A$16:A43)</f>
        <v>28</v>
      </c>
      <c r="C43" s="94" t="s">
        <v>524</v>
      </c>
      <c r="D43" s="138">
        <v>1967</v>
      </c>
      <c r="E43" s="138"/>
      <c r="F43" s="167" t="s">
        <v>273</v>
      </c>
      <c r="G43" s="138">
        <v>2</v>
      </c>
      <c r="H43" s="138">
        <v>2</v>
      </c>
      <c r="I43" s="130">
        <v>705.8</v>
      </c>
      <c r="J43" s="130">
        <v>652.9</v>
      </c>
      <c r="K43" s="130">
        <v>519.20000000000005</v>
      </c>
      <c r="L43" s="139">
        <v>38</v>
      </c>
      <c r="M43" s="138" t="s">
        <v>271</v>
      </c>
      <c r="N43" s="138" t="s">
        <v>275</v>
      </c>
      <c r="O43" s="136" t="s">
        <v>1039</v>
      </c>
      <c r="P43" s="130">
        <v>2411249.27</v>
      </c>
      <c r="Q43" s="130">
        <v>0</v>
      </c>
      <c r="R43" s="130">
        <v>0</v>
      </c>
      <c r="S43" s="130">
        <f t="shared" si="2"/>
        <v>2411249.27</v>
      </c>
      <c r="T43" s="130">
        <f t="shared" si="0"/>
        <v>3416.3350382544631</v>
      </c>
      <c r="U43" s="130">
        <v>5182.0675828846697</v>
      </c>
    </row>
    <row r="44" spans="1:21" s="64" customFormat="1" ht="36" customHeight="1" x14ac:dyDescent="0.9">
      <c r="A44" s="64">
        <v>1</v>
      </c>
      <c r="B44" s="96">
        <f>SUBTOTAL(103,$A$16:A44)</f>
        <v>29</v>
      </c>
      <c r="C44" s="94" t="s">
        <v>525</v>
      </c>
      <c r="D44" s="138">
        <v>1972</v>
      </c>
      <c r="E44" s="138"/>
      <c r="F44" s="167" t="s">
        <v>273</v>
      </c>
      <c r="G44" s="138">
        <v>2</v>
      </c>
      <c r="H44" s="138">
        <v>2</v>
      </c>
      <c r="I44" s="130">
        <v>790.6</v>
      </c>
      <c r="J44" s="130">
        <v>725.4</v>
      </c>
      <c r="K44" s="130">
        <v>532.9</v>
      </c>
      <c r="L44" s="139">
        <v>47</v>
      </c>
      <c r="M44" s="138" t="s">
        <v>271</v>
      </c>
      <c r="N44" s="138" t="s">
        <v>275</v>
      </c>
      <c r="O44" s="136" t="s">
        <v>1043</v>
      </c>
      <c r="P44" s="130">
        <v>3283580.04</v>
      </c>
      <c r="Q44" s="130">
        <v>0</v>
      </c>
      <c r="R44" s="130">
        <v>0</v>
      </c>
      <c r="S44" s="130">
        <f t="shared" si="2"/>
        <v>3283580.04</v>
      </c>
      <c r="T44" s="130">
        <f t="shared" si="0"/>
        <v>4153.2760435112568</v>
      </c>
      <c r="U44" s="130">
        <v>5964.4052618264604</v>
      </c>
    </row>
    <row r="45" spans="1:21" s="64" customFormat="1" ht="36" customHeight="1" x14ac:dyDescent="0.9">
      <c r="A45" s="64">
        <v>1</v>
      </c>
      <c r="B45" s="96">
        <f>SUBTOTAL(103,$A$16:A45)</f>
        <v>30</v>
      </c>
      <c r="C45" s="94" t="s">
        <v>526</v>
      </c>
      <c r="D45" s="138">
        <v>1994</v>
      </c>
      <c r="E45" s="138"/>
      <c r="F45" s="167" t="s">
        <v>319</v>
      </c>
      <c r="G45" s="138">
        <v>9</v>
      </c>
      <c r="H45" s="138">
        <v>7</v>
      </c>
      <c r="I45" s="130">
        <v>14325</v>
      </c>
      <c r="J45" s="130">
        <v>14166</v>
      </c>
      <c r="K45" s="130">
        <v>14001.7</v>
      </c>
      <c r="L45" s="139">
        <v>600</v>
      </c>
      <c r="M45" s="138" t="s">
        <v>271</v>
      </c>
      <c r="N45" s="138" t="s">
        <v>275</v>
      </c>
      <c r="O45" s="136" t="s">
        <v>357</v>
      </c>
      <c r="P45" s="130">
        <v>14930979</v>
      </c>
      <c r="Q45" s="130">
        <v>0</v>
      </c>
      <c r="R45" s="130">
        <v>0</v>
      </c>
      <c r="S45" s="130">
        <f t="shared" si="2"/>
        <v>14930979</v>
      </c>
      <c r="T45" s="130">
        <f t="shared" si="0"/>
        <v>1042.3021989528795</v>
      </c>
      <c r="U45" s="130">
        <v>1098.6471902268761</v>
      </c>
    </row>
    <row r="46" spans="1:21" s="64" customFormat="1" ht="36" customHeight="1" x14ac:dyDescent="0.9">
      <c r="A46" s="64">
        <v>1</v>
      </c>
      <c r="B46" s="96">
        <f>SUBTOTAL(103,$A$16:A46)</f>
        <v>31</v>
      </c>
      <c r="C46" s="94" t="s">
        <v>527</v>
      </c>
      <c r="D46" s="138">
        <v>1994</v>
      </c>
      <c r="E46" s="138"/>
      <c r="F46" s="167" t="s">
        <v>319</v>
      </c>
      <c r="G46" s="138">
        <v>9</v>
      </c>
      <c r="H46" s="138">
        <v>2</v>
      </c>
      <c r="I46" s="130">
        <v>5491.1</v>
      </c>
      <c r="J46" s="130">
        <v>5444.9</v>
      </c>
      <c r="K46" s="130">
        <v>5379.7</v>
      </c>
      <c r="L46" s="139">
        <v>257</v>
      </c>
      <c r="M46" s="138" t="s">
        <v>271</v>
      </c>
      <c r="N46" s="138" t="s">
        <v>275</v>
      </c>
      <c r="O46" s="136" t="s">
        <v>357</v>
      </c>
      <c r="P46" s="130">
        <v>4260892</v>
      </c>
      <c r="Q46" s="130">
        <v>0</v>
      </c>
      <c r="R46" s="130">
        <v>0</v>
      </c>
      <c r="S46" s="130">
        <f t="shared" si="2"/>
        <v>4260892</v>
      </c>
      <c r="T46" s="130">
        <f t="shared" si="0"/>
        <v>775.96328604469045</v>
      </c>
      <c r="U46" s="130">
        <v>818.88983992278406</v>
      </c>
    </row>
    <row r="47" spans="1:21" s="64" customFormat="1" ht="36" customHeight="1" x14ac:dyDescent="0.9">
      <c r="A47" s="64">
        <v>1</v>
      </c>
      <c r="B47" s="96">
        <f>SUBTOTAL(103,$A$16:A47)</f>
        <v>32</v>
      </c>
      <c r="C47" s="94" t="s">
        <v>528</v>
      </c>
      <c r="D47" s="138">
        <v>1993</v>
      </c>
      <c r="E47" s="138"/>
      <c r="F47" s="167" t="s">
        <v>319</v>
      </c>
      <c r="G47" s="138">
        <v>9</v>
      </c>
      <c r="H47" s="138">
        <v>1</v>
      </c>
      <c r="I47" s="130">
        <v>1614.7</v>
      </c>
      <c r="J47" s="130">
        <v>1585.9</v>
      </c>
      <c r="K47" s="130">
        <v>1361.4</v>
      </c>
      <c r="L47" s="139">
        <v>66</v>
      </c>
      <c r="M47" s="138" t="s">
        <v>271</v>
      </c>
      <c r="N47" s="138" t="s">
        <v>275</v>
      </c>
      <c r="O47" s="136" t="s">
        <v>357</v>
      </c>
      <c r="P47" s="130">
        <v>2178303</v>
      </c>
      <c r="Q47" s="130">
        <v>0</v>
      </c>
      <c r="R47" s="130">
        <v>0</v>
      </c>
      <c r="S47" s="130">
        <f t="shared" si="2"/>
        <v>2178303</v>
      </c>
      <c r="T47" s="130">
        <f t="shared" si="0"/>
        <v>1349.0450238434385</v>
      </c>
      <c r="U47" s="130">
        <v>1392.3967300427323</v>
      </c>
    </row>
    <row r="48" spans="1:21" s="64" customFormat="1" ht="36" customHeight="1" x14ac:dyDescent="0.9">
      <c r="A48" s="64">
        <v>1</v>
      </c>
      <c r="B48" s="96">
        <f>SUBTOTAL(103,$A$16:A48)</f>
        <v>33</v>
      </c>
      <c r="C48" s="94" t="s">
        <v>529</v>
      </c>
      <c r="D48" s="138">
        <v>1993</v>
      </c>
      <c r="E48" s="138"/>
      <c r="F48" s="167" t="s">
        <v>319</v>
      </c>
      <c r="G48" s="138">
        <v>9</v>
      </c>
      <c r="H48" s="138">
        <v>2</v>
      </c>
      <c r="I48" s="130">
        <v>4490.3</v>
      </c>
      <c r="J48" s="130">
        <v>4474.6000000000004</v>
      </c>
      <c r="K48" s="130">
        <v>4474.6000000000004</v>
      </c>
      <c r="L48" s="139">
        <v>177</v>
      </c>
      <c r="M48" s="138" t="s">
        <v>271</v>
      </c>
      <c r="N48" s="138" t="s">
        <v>275</v>
      </c>
      <c r="O48" s="136" t="s">
        <v>357</v>
      </c>
      <c r="P48" s="130">
        <v>4396606</v>
      </c>
      <c r="Q48" s="130">
        <v>0</v>
      </c>
      <c r="R48" s="130">
        <v>0</v>
      </c>
      <c r="S48" s="130">
        <f t="shared" si="2"/>
        <v>4396606</v>
      </c>
      <c r="T48" s="130">
        <f t="shared" si="0"/>
        <v>979.13413357682111</v>
      </c>
      <c r="U48" s="130">
        <v>1001.4043605104335</v>
      </c>
    </row>
    <row r="49" spans="1:21" s="64" customFormat="1" ht="36" customHeight="1" x14ac:dyDescent="0.9">
      <c r="A49" s="64">
        <v>1</v>
      </c>
      <c r="B49" s="96">
        <f>SUBTOTAL(103,$A$16:A49)</f>
        <v>34</v>
      </c>
      <c r="C49" s="94" t="s">
        <v>530</v>
      </c>
      <c r="D49" s="138">
        <v>1987</v>
      </c>
      <c r="E49" s="138"/>
      <c r="F49" s="167" t="s">
        <v>273</v>
      </c>
      <c r="G49" s="138">
        <v>5</v>
      </c>
      <c r="H49" s="138">
        <v>2</v>
      </c>
      <c r="I49" s="130">
        <v>1670.9</v>
      </c>
      <c r="J49" s="130">
        <v>1146.4000000000001</v>
      </c>
      <c r="K49" s="130">
        <v>1030.9000000000001</v>
      </c>
      <c r="L49" s="139">
        <v>65</v>
      </c>
      <c r="M49" s="138" t="s">
        <v>271</v>
      </c>
      <c r="N49" s="138" t="s">
        <v>275</v>
      </c>
      <c r="O49" s="136" t="s">
        <v>1037</v>
      </c>
      <c r="P49" s="130">
        <v>1387013.57</v>
      </c>
      <c r="Q49" s="130">
        <v>0</v>
      </c>
      <c r="R49" s="130">
        <v>0</v>
      </c>
      <c r="S49" s="130">
        <f t="shared" si="2"/>
        <v>1387013.57</v>
      </c>
      <c r="T49" s="130">
        <f t="shared" si="0"/>
        <v>830.09968879047221</v>
      </c>
      <c r="U49" s="130">
        <v>1201.5663809922796</v>
      </c>
    </row>
    <row r="50" spans="1:21" s="64" customFormat="1" ht="36" customHeight="1" x14ac:dyDescent="0.9">
      <c r="A50" s="64">
        <v>1</v>
      </c>
      <c r="B50" s="96">
        <f>SUBTOTAL(103,$A$16:A50)</f>
        <v>35</v>
      </c>
      <c r="C50" s="94" t="s">
        <v>531</v>
      </c>
      <c r="D50" s="138">
        <v>1983</v>
      </c>
      <c r="E50" s="138"/>
      <c r="F50" s="167" t="s">
        <v>273</v>
      </c>
      <c r="G50" s="138">
        <v>5</v>
      </c>
      <c r="H50" s="138">
        <v>1</v>
      </c>
      <c r="I50" s="130">
        <v>628.5</v>
      </c>
      <c r="J50" s="130">
        <v>568.5</v>
      </c>
      <c r="K50" s="130">
        <v>568.5</v>
      </c>
      <c r="L50" s="139">
        <v>31</v>
      </c>
      <c r="M50" s="138" t="s">
        <v>271</v>
      </c>
      <c r="N50" s="138" t="s">
        <v>275</v>
      </c>
      <c r="O50" s="136" t="s">
        <v>1035</v>
      </c>
      <c r="P50" s="130">
        <v>985637.27</v>
      </c>
      <c r="Q50" s="130">
        <v>0</v>
      </c>
      <c r="R50" s="130">
        <v>0</v>
      </c>
      <c r="S50" s="130">
        <f t="shared" si="2"/>
        <v>985637.27</v>
      </c>
      <c r="T50" s="130">
        <f t="shared" si="0"/>
        <v>1568.2375019888625</v>
      </c>
      <c r="U50" s="130">
        <v>2221.9590453460619</v>
      </c>
    </row>
    <row r="51" spans="1:21" s="64" customFormat="1" ht="36" customHeight="1" x14ac:dyDescent="0.9">
      <c r="A51" s="64">
        <v>1</v>
      </c>
      <c r="B51" s="96">
        <f>SUBTOTAL(103,$A$16:A51)</f>
        <v>36</v>
      </c>
      <c r="C51" s="94" t="s">
        <v>532</v>
      </c>
      <c r="D51" s="138">
        <v>1959</v>
      </c>
      <c r="E51" s="138"/>
      <c r="F51" s="167" t="s">
        <v>273</v>
      </c>
      <c r="G51" s="138">
        <v>2</v>
      </c>
      <c r="H51" s="138">
        <v>1</v>
      </c>
      <c r="I51" s="130">
        <v>313.3</v>
      </c>
      <c r="J51" s="130">
        <v>290.10000000000002</v>
      </c>
      <c r="K51" s="130">
        <v>290.10000000000002</v>
      </c>
      <c r="L51" s="139">
        <v>24</v>
      </c>
      <c r="M51" s="138" t="s">
        <v>271</v>
      </c>
      <c r="N51" s="138" t="s">
        <v>275</v>
      </c>
      <c r="O51" s="136" t="s">
        <v>1035</v>
      </c>
      <c r="P51" s="130">
        <v>1450057.71</v>
      </c>
      <c r="Q51" s="130">
        <v>0</v>
      </c>
      <c r="R51" s="130">
        <v>0</v>
      </c>
      <c r="S51" s="130">
        <f t="shared" si="2"/>
        <v>1450057.71</v>
      </c>
      <c r="T51" s="130">
        <f t="shared" si="0"/>
        <v>4628.3361315033508</v>
      </c>
      <c r="U51" s="130">
        <v>8106.2750041493773</v>
      </c>
    </row>
    <row r="52" spans="1:21" s="64" customFormat="1" ht="36" customHeight="1" x14ac:dyDescent="0.9">
      <c r="A52" s="64">
        <v>1</v>
      </c>
      <c r="B52" s="96">
        <f>SUBTOTAL(103,$A$16:A52)</f>
        <v>37</v>
      </c>
      <c r="C52" s="94" t="s">
        <v>1132</v>
      </c>
      <c r="D52" s="138">
        <v>1941</v>
      </c>
      <c r="E52" s="138"/>
      <c r="F52" s="167" t="s">
        <v>273</v>
      </c>
      <c r="G52" s="138">
        <v>3</v>
      </c>
      <c r="H52" s="138">
        <v>2</v>
      </c>
      <c r="I52" s="130">
        <v>1259.5999999999999</v>
      </c>
      <c r="J52" s="130">
        <v>1105.5</v>
      </c>
      <c r="K52" s="130">
        <v>1105.5</v>
      </c>
      <c r="L52" s="139">
        <v>57</v>
      </c>
      <c r="M52" s="138" t="s">
        <v>271</v>
      </c>
      <c r="N52" s="138" t="s">
        <v>275</v>
      </c>
      <c r="O52" s="136" t="s">
        <v>1140</v>
      </c>
      <c r="P52" s="130">
        <v>3068875</v>
      </c>
      <c r="Q52" s="130">
        <v>0</v>
      </c>
      <c r="R52" s="130">
        <v>0</v>
      </c>
      <c r="S52" s="130">
        <f t="shared" si="2"/>
        <v>3068875</v>
      </c>
      <c r="T52" s="130">
        <f t="shared" si="0"/>
        <v>2436.3885360431887</v>
      </c>
      <c r="U52" s="130">
        <v>4907.7146713242309</v>
      </c>
    </row>
    <row r="53" spans="1:21" s="64" customFormat="1" ht="36" customHeight="1" x14ac:dyDescent="0.9">
      <c r="A53" s="64">
        <v>1</v>
      </c>
      <c r="B53" s="96">
        <f>SUBTOTAL(103,$A$16:A53)</f>
        <v>38</v>
      </c>
      <c r="C53" s="94" t="s">
        <v>533</v>
      </c>
      <c r="D53" s="138">
        <v>1969</v>
      </c>
      <c r="E53" s="138"/>
      <c r="F53" s="167" t="s">
        <v>273</v>
      </c>
      <c r="G53" s="138">
        <v>9</v>
      </c>
      <c r="H53" s="138">
        <v>1</v>
      </c>
      <c r="I53" s="130">
        <v>2575.6999999999998</v>
      </c>
      <c r="J53" s="130">
        <v>2278.3000000000002</v>
      </c>
      <c r="K53" s="130">
        <v>2233.5</v>
      </c>
      <c r="L53" s="139">
        <v>84</v>
      </c>
      <c r="M53" s="138" t="s">
        <v>271</v>
      </c>
      <c r="N53" s="138" t="s">
        <v>275</v>
      </c>
      <c r="O53" s="136" t="s">
        <v>1035</v>
      </c>
      <c r="P53" s="130">
        <v>2178303</v>
      </c>
      <c r="Q53" s="130">
        <v>0</v>
      </c>
      <c r="R53" s="130">
        <v>0</v>
      </c>
      <c r="S53" s="130">
        <f t="shared" si="2"/>
        <v>2178303</v>
      </c>
      <c r="T53" s="130">
        <f t="shared" si="0"/>
        <v>845.71301005551891</v>
      </c>
      <c r="U53" s="130">
        <v>872.89008813138184</v>
      </c>
    </row>
    <row r="54" spans="1:21" s="64" customFormat="1" ht="36" customHeight="1" x14ac:dyDescent="0.9">
      <c r="A54" s="64">
        <v>1</v>
      </c>
      <c r="B54" s="96">
        <f>SUBTOTAL(103,$A$16:A54)</f>
        <v>39</v>
      </c>
      <c r="C54" s="94" t="s">
        <v>534</v>
      </c>
      <c r="D54" s="138">
        <v>1983</v>
      </c>
      <c r="E54" s="138"/>
      <c r="F54" s="167" t="s">
        <v>273</v>
      </c>
      <c r="G54" s="138">
        <v>5</v>
      </c>
      <c r="H54" s="138">
        <v>3</v>
      </c>
      <c r="I54" s="130">
        <v>2943.9</v>
      </c>
      <c r="J54" s="130">
        <v>1558.5</v>
      </c>
      <c r="K54" s="130">
        <v>1519.6</v>
      </c>
      <c r="L54" s="139">
        <v>99</v>
      </c>
      <c r="M54" s="138" t="s">
        <v>271</v>
      </c>
      <c r="N54" s="138" t="s">
        <v>275</v>
      </c>
      <c r="O54" s="136" t="s">
        <v>1035</v>
      </c>
      <c r="P54" s="130">
        <v>3345041.9099999997</v>
      </c>
      <c r="Q54" s="130">
        <v>0</v>
      </c>
      <c r="R54" s="130">
        <v>0</v>
      </c>
      <c r="S54" s="130">
        <f t="shared" si="2"/>
        <v>3345041.9099999997</v>
      </c>
      <c r="T54" s="130">
        <f t="shared" si="0"/>
        <v>1136.2620707225108</v>
      </c>
      <c r="U54" s="130">
        <v>1631.7546506335132</v>
      </c>
    </row>
    <row r="55" spans="1:21" s="64" customFormat="1" ht="36" customHeight="1" x14ac:dyDescent="0.9">
      <c r="A55" s="64">
        <v>1</v>
      </c>
      <c r="B55" s="96">
        <f>SUBTOTAL(103,$A$16:A55)</f>
        <v>40</v>
      </c>
      <c r="C55" s="94" t="s">
        <v>535</v>
      </c>
      <c r="D55" s="138">
        <v>1989</v>
      </c>
      <c r="E55" s="138"/>
      <c r="F55" s="167" t="s">
        <v>273</v>
      </c>
      <c r="G55" s="138">
        <v>5</v>
      </c>
      <c r="H55" s="138">
        <v>4</v>
      </c>
      <c r="I55" s="130">
        <v>3501.4</v>
      </c>
      <c r="J55" s="130">
        <v>2634.9</v>
      </c>
      <c r="K55" s="130">
        <v>2634.9</v>
      </c>
      <c r="L55" s="139">
        <v>131</v>
      </c>
      <c r="M55" s="138" t="s">
        <v>271</v>
      </c>
      <c r="N55" s="138" t="s">
        <v>275</v>
      </c>
      <c r="O55" s="136" t="s">
        <v>1042</v>
      </c>
      <c r="P55" s="130">
        <v>3596842.14</v>
      </c>
      <c r="Q55" s="130">
        <v>0</v>
      </c>
      <c r="R55" s="130">
        <v>0</v>
      </c>
      <c r="S55" s="130">
        <f t="shared" si="2"/>
        <v>3596842.14</v>
      </c>
      <c r="T55" s="130">
        <f t="shared" si="0"/>
        <v>1027.2582795453247</v>
      </c>
      <c r="U55" s="130">
        <v>1486.5885245901638</v>
      </c>
    </row>
    <row r="56" spans="1:21" s="64" customFormat="1" ht="36" customHeight="1" x14ac:dyDescent="0.9">
      <c r="A56" s="64">
        <v>1</v>
      </c>
      <c r="B56" s="96">
        <f>SUBTOTAL(103,$A$16:A56)</f>
        <v>41</v>
      </c>
      <c r="C56" s="94" t="s">
        <v>536</v>
      </c>
      <c r="D56" s="138">
        <v>1980</v>
      </c>
      <c r="E56" s="138"/>
      <c r="F56" s="167" t="s">
        <v>273</v>
      </c>
      <c r="G56" s="138">
        <v>5</v>
      </c>
      <c r="H56" s="138">
        <v>1</v>
      </c>
      <c r="I56" s="130">
        <v>1264.0999999999999</v>
      </c>
      <c r="J56" s="130">
        <v>1001.3</v>
      </c>
      <c r="K56" s="130">
        <v>1001.3</v>
      </c>
      <c r="L56" s="139">
        <v>42</v>
      </c>
      <c r="M56" s="138" t="s">
        <v>271</v>
      </c>
      <c r="N56" s="138" t="s">
        <v>275</v>
      </c>
      <c r="O56" s="136" t="s">
        <v>1042</v>
      </c>
      <c r="P56" s="130">
        <v>1174579.6199999999</v>
      </c>
      <c r="Q56" s="130">
        <v>0</v>
      </c>
      <c r="R56" s="130">
        <v>0</v>
      </c>
      <c r="S56" s="130">
        <f t="shared" si="2"/>
        <v>1174579.6199999999</v>
      </c>
      <c r="T56" s="130">
        <f t="shared" si="0"/>
        <v>929.18251720591718</v>
      </c>
      <c r="U56" s="130">
        <v>1372.5551934182424</v>
      </c>
    </row>
    <row r="57" spans="1:21" s="64" customFormat="1" ht="36" customHeight="1" x14ac:dyDescent="0.9">
      <c r="A57" s="64">
        <v>1</v>
      </c>
      <c r="B57" s="96">
        <f>SUBTOTAL(103,$A$16:A57)</f>
        <v>42</v>
      </c>
      <c r="C57" s="94" t="s">
        <v>537</v>
      </c>
      <c r="D57" s="138">
        <v>1981</v>
      </c>
      <c r="E57" s="138"/>
      <c r="F57" s="167" t="s">
        <v>319</v>
      </c>
      <c r="G57" s="138">
        <v>5</v>
      </c>
      <c r="H57" s="138">
        <v>8</v>
      </c>
      <c r="I57" s="130">
        <v>7968.9</v>
      </c>
      <c r="J57" s="130">
        <v>6120.8</v>
      </c>
      <c r="K57" s="130">
        <v>6120.8</v>
      </c>
      <c r="L57" s="139">
        <v>317</v>
      </c>
      <c r="M57" s="138" t="s">
        <v>271</v>
      </c>
      <c r="N57" s="138" t="s">
        <v>275</v>
      </c>
      <c r="O57" s="136" t="s">
        <v>1042</v>
      </c>
      <c r="P57" s="130">
        <v>7166073.3299999991</v>
      </c>
      <c r="Q57" s="130">
        <v>0</v>
      </c>
      <c r="R57" s="130">
        <v>0</v>
      </c>
      <c r="S57" s="130">
        <f t="shared" si="2"/>
        <v>7166073.3299999991</v>
      </c>
      <c r="T57" s="130">
        <f t="shared" si="0"/>
        <v>899.25502014079723</v>
      </c>
      <c r="U57" s="130">
        <v>1338.9849163623587</v>
      </c>
    </row>
    <row r="58" spans="1:21" s="64" customFormat="1" ht="36" customHeight="1" x14ac:dyDescent="0.9">
      <c r="A58" s="64">
        <v>1</v>
      </c>
      <c r="B58" s="96">
        <f>SUBTOTAL(103,$A$16:A58)</f>
        <v>43</v>
      </c>
      <c r="C58" s="94" t="s">
        <v>538</v>
      </c>
      <c r="D58" s="138">
        <v>1993</v>
      </c>
      <c r="E58" s="138"/>
      <c r="F58" s="167" t="s">
        <v>319</v>
      </c>
      <c r="G58" s="138">
        <v>5</v>
      </c>
      <c r="H58" s="138">
        <v>5</v>
      </c>
      <c r="I58" s="130">
        <v>7577.6</v>
      </c>
      <c r="J58" s="130">
        <v>5722.2</v>
      </c>
      <c r="K58" s="130">
        <v>5722</v>
      </c>
      <c r="L58" s="139">
        <v>260</v>
      </c>
      <c r="M58" s="138" t="s">
        <v>271</v>
      </c>
      <c r="N58" s="138" t="s">
        <v>275</v>
      </c>
      <c r="O58" s="136" t="s">
        <v>1042</v>
      </c>
      <c r="P58" s="130">
        <v>8262644.0300000003</v>
      </c>
      <c r="Q58" s="130">
        <v>0</v>
      </c>
      <c r="R58" s="130">
        <v>0</v>
      </c>
      <c r="S58" s="130">
        <f t="shared" si="2"/>
        <v>8262644.0300000003</v>
      </c>
      <c r="T58" s="130">
        <f t="shared" si="0"/>
        <v>1090.4038257495777</v>
      </c>
      <c r="U58" s="130">
        <v>1623.5366210937498</v>
      </c>
    </row>
    <row r="59" spans="1:21" s="64" customFormat="1" ht="36" customHeight="1" x14ac:dyDescent="0.9">
      <c r="A59" s="64">
        <v>1</v>
      </c>
      <c r="B59" s="96">
        <f>SUBTOTAL(103,$A$16:A59)</f>
        <v>44</v>
      </c>
      <c r="C59" s="94" t="s">
        <v>539</v>
      </c>
      <c r="D59" s="138">
        <v>1986</v>
      </c>
      <c r="E59" s="138"/>
      <c r="F59" s="167" t="s">
        <v>273</v>
      </c>
      <c r="G59" s="138">
        <v>5</v>
      </c>
      <c r="H59" s="138">
        <v>4</v>
      </c>
      <c r="I59" s="130">
        <v>3600.3</v>
      </c>
      <c r="J59" s="130">
        <v>2714.2</v>
      </c>
      <c r="K59" s="130">
        <v>2714.2</v>
      </c>
      <c r="L59" s="139">
        <v>137</v>
      </c>
      <c r="M59" s="138" t="s">
        <v>271</v>
      </c>
      <c r="N59" s="138" t="s">
        <v>275</v>
      </c>
      <c r="O59" s="136" t="s">
        <v>1042</v>
      </c>
      <c r="P59" s="130">
        <v>3765448.0900000003</v>
      </c>
      <c r="Q59" s="130">
        <v>0</v>
      </c>
      <c r="R59" s="130">
        <v>0</v>
      </c>
      <c r="S59" s="130">
        <f t="shared" si="2"/>
        <v>3765448.0900000003</v>
      </c>
      <c r="T59" s="130">
        <f t="shared" si="0"/>
        <v>1045.870646890537</v>
      </c>
      <c r="U59" s="130">
        <v>1541.46384467961</v>
      </c>
    </row>
    <row r="60" spans="1:21" s="64" customFormat="1" ht="36" customHeight="1" x14ac:dyDescent="0.9">
      <c r="A60" s="64">
        <v>1</v>
      </c>
      <c r="B60" s="96">
        <f>SUBTOTAL(103,$A$16:A60)</f>
        <v>45</v>
      </c>
      <c r="C60" s="94" t="s">
        <v>540</v>
      </c>
      <c r="D60" s="138">
        <v>1988</v>
      </c>
      <c r="E60" s="138"/>
      <c r="F60" s="167" t="s">
        <v>319</v>
      </c>
      <c r="G60" s="138">
        <v>5</v>
      </c>
      <c r="H60" s="138">
        <v>5</v>
      </c>
      <c r="I60" s="130">
        <v>5202.1000000000004</v>
      </c>
      <c r="J60" s="130">
        <v>3872.5</v>
      </c>
      <c r="K60" s="130">
        <v>3697</v>
      </c>
      <c r="L60" s="139">
        <v>193</v>
      </c>
      <c r="M60" s="138" t="s">
        <v>271</v>
      </c>
      <c r="N60" s="138" t="s">
        <v>275</v>
      </c>
      <c r="O60" s="136" t="s">
        <v>1037</v>
      </c>
      <c r="P60" s="130">
        <v>4344134.7699999996</v>
      </c>
      <c r="Q60" s="130">
        <v>0</v>
      </c>
      <c r="R60" s="130">
        <v>0</v>
      </c>
      <c r="S60" s="130">
        <f t="shared" si="2"/>
        <v>4344134.7699999996</v>
      </c>
      <c r="T60" s="130">
        <f t="shared" si="0"/>
        <v>835.0732915553333</v>
      </c>
      <c r="U60" s="130">
        <v>1197.7827908740442</v>
      </c>
    </row>
    <row r="61" spans="1:21" s="64" customFormat="1" ht="36" customHeight="1" x14ac:dyDescent="0.9">
      <c r="A61" s="64">
        <v>1</v>
      </c>
      <c r="B61" s="96">
        <f>SUBTOTAL(103,$A$16:A61)</f>
        <v>46</v>
      </c>
      <c r="C61" s="94" t="s">
        <v>541</v>
      </c>
      <c r="D61" s="138">
        <v>1987</v>
      </c>
      <c r="E61" s="138"/>
      <c r="F61" s="167" t="s">
        <v>319</v>
      </c>
      <c r="G61" s="138">
        <v>5</v>
      </c>
      <c r="H61" s="138">
        <v>3</v>
      </c>
      <c r="I61" s="130">
        <v>3164.6</v>
      </c>
      <c r="J61" s="130">
        <v>2306.6999999999998</v>
      </c>
      <c r="K61" s="130">
        <v>2254.6</v>
      </c>
      <c r="L61" s="139">
        <v>96</v>
      </c>
      <c r="M61" s="138" t="s">
        <v>271</v>
      </c>
      <c r="N61" s="138" t="s">
        <v>275</v>
      </c>
      <c r="O61" s="136" t="s">
        <v>1037</v>
      </c>
      <c r="P61" s="130">
        <v>2675102.6700000004</v>
      </c>
      <c r="Q61" s="130">
        <v>0</v>
      </c>
      <c r="R61" s="130">
        <v>0</v>
      </c>
      <c r="S61" s="130">
        <f t="shared" si="2"/>
        <v>2675102.6700000004</v>
      </c>
      <c r="T61" s="130">
        <f t="shared" si="0"/>
        <v>845.32094735511612</v>
      </c>
      <c r="U61" s="130">
        <v>4374.1485331658296</v>
      </c>
    </row>
    <row r="62" spans="1:21" s="64" customFormat="1" ht="36" customHeight="1" x14ac:dyDescent="0.9">
      <c r="A62" s="64">
        <v>1</v>
      </c>
      <c r="B62" s="96">
        <f>SUBTOTAL(103,$A$16:A62)</f>
        <v>47</v>
      </c>
      <c r="C62" s="94" t="s">
        <v>542</v>
      </c>
      <c r="D62" s="138">
        <v>1952</v>
      </c>
      <c r="E62" s="138"/>
      <c r="F62" s="167" t="s">
        <v>273</v>
      </c>
      <c r="G62" s="138">
        <v>2</v>
      </c>
      <c r="H62" s="138">
        <v>2</v>
      </c>
      <c r="I62" s="130">
        <v>796</v>
      </c>
      <c r="J62" s="130">
        <v>723.4</v>
      </c>
      <c r="K62" s="130">
        <v>571.67999999999995</v>
      </c>
      <c r="L62" s="139">
        <v>47</v>
      </c>
      <c r="M62" s="138" t="s">
        <v>271</v>
      </c>
      <c r="N62" s="138" t="s">
        <v>275</v>
      </c>
      <c r="O62" s="136" t="s">
        <v>1039</v>
      </c>
      <c r="P62" s="130">
        <v>2302288.7200000002</v>
      </c>
      <c r="Q62" s="130">
        <v>0</v>
      </c>
      <c r="R62" s="130">
        <v>0</v>
      </c>
      <c r="S62" s="130">
        <f t="shared" si="2"/>
        <v>2302288.7200000002</v>
      </c>
      <c r="T62" s="130">
        <f t="shared" si="0"/>
        <v>2892.3225125628142</v>
      </c>
      <c r="U62" s="130">
        <f>T62</f>
        <v>2892.3225125628142</v>
      </c>
    </row>
    <row r="63" spans="1:21" s="64" customFormat="1" ht="36" customHeight="1" x14ac:dyDescent="0.9">
      <c r="A63" s="64">
        <v>1</v>
      </c>
      <c r="B63" s="96">
        <f>SUBTOTAL(103,$A$16:A63)</f>
        <v>48</v>
      </c>
      <c r="C63" s="94" t="s">
        <v>543</v>
      </c>
      <c r="D63" s="138">
        <v>1989</v>
      </c>
      <c r="E63" s="138"/>
      <c r="F63" s="167" t="s">
        <v>319</v>
      </c>
      <c r="G63" s="138">
        <v>5</v>
      </c>
      <c r="H63" s="138">
        <v>4</v>
      </c>
      <c r="I63" s="130">
        <v>4185.3</v>
      </c>
      <c r="J63" s="130">
        <v>3109.7</v>
      </c>
      <c r="K63" s="130">
        <v>3039.3</v>
      </c>
      <c r="L63" s="139">
        <v>144</v>
      </c>
      <c r="M63" s="138" t="s">
        <v>271</v>
      </c>
      <c r="N63" s="138" t="s">
        <v>275</v>
      </c>
      <c r="O63" s="136" t="s">
        <v>1037</v>
      </c>
      <c r="P63" s="130">
        <v>3507491.94</v>
      </c>
      <c r="Q63" s="130">
        <v>0</v>
      </c>
      <c r="R63" s="130">
        <v>0</v>
      </c>
      <c r="S63" s="130">
        <f t="shared" si="2"/>
        <v>3507491.94</v>
      </c>
      <c r="T63" s="130">
        <f t="shared" si="0"/>
        <v>838.05030463766036</v>
      </c>
      <c r="U63" s="130">
        <v>1828.9912220896542</v>
      </c>
    </row>
    <row r="64" spans="1:21" s="64" customFormat="1" ht="36" customHeight="1" x14ac:dyDescent="0.9">
      <c r="A64" s="64">
        <v>1</v>
      </c>
      <c r="B64" s="96">
        <f>SUBTOTAL(103,$A$16:A64)</f>
        <v>49</v>
      </c>
      <c r="C64" s="94" t="s">
        <v>544</v>
      </c>
      <c r="D64" s="138">
        <v>1958</v>
      </c>
      <c r="E64" s="138"/>
      <c r="F64" s="167" t="s">
        <v>273</v>
      </c>
      <c r="G64" s="138">
        <v>3</v>
      </c>
      <c r="H64" s="138">
        <v>2</v>
      </c>
      <c r="I64" s="130">
        <v>3520.2</v>
      </c>
      <c r="J64" s="130">
        <v>1802.9</v>
      </c>
      <c r="K64" s="130">
        <v>1802.9</v>
      </c>
      <c r="L64" s="139">
        <v>64</v>
      </c>
      <c r="M64" s="138" t="s">
        <v>271</v>
      </c>
      <c r="N64" s="138" t="s">
        <v>275</v>
      </c>
      <c r="O64" s="136" t="s">
        <v>1038</v>
      </c>
      <c r="P64" s="130">
        <v>4425362.24</v>
      </c>
      <c r="Q64" s="130">
        <v>0</v>
      </c>
      <c r="R64" s="130">
        <v>0</v>
      </c>
      <c r="S64" s="130">
        <f t="shared" si="2"/>
        <v>4425362.24</v>
      </c>
      <c r="T64" s="130">
        <f t="shared" si="0"/>
        <v>1257.1337537639909</v>
      </c>
      <c r="U64" s="130">
        <v>1854.4226251615833</v>
      </c>
    </row>
    <row r="65" spans="1:21" s="64" customFormat="1" ht="36" customHeight="1" x14ac:dyDescent="0.9">
      <c r="A65" s="64">
        <v>1</v>
      </c>
      <c r="B65" s="96">
        <f>SUBTOTAL(103,$A$16:A65)</f>
        <v>50</v>
      </c>
      <c r="C65" s="94" t="s">
        <v>545</v>
      </c>
      <c r="D65" s="138">
        <v>1997</v>
      </c>
      <c r="E65" s="138"/>
      <c r="F65" s="167" t="s">
        <v>273</v>
      </c>
      <c r="G65" s="138">
        <v>4</v>
      </c>
      <c r="H65" s="138">
        <v>3</v>
      </c>
      <c r="I65" s="130">
        <v>2862.3</v>
      </c>
      <c r="J65" s="130">
        <v>2037.4</v>
      </c>
      <c r="K65" s="130">
        <v>2037.4</v>
      </c>
      <c r="L65" s="139">
        <v>98</v>
      </c>
      <c r="M65" s="138" t="s">
        <v>271</v>
      </c>
      <c r="N65" s="138" t="s">
        <v>275</v>
      </c>
      <c r="O65" s="136" t="s">
        <v>1042</v>
      </c>
      <c r="P65" s="130">
        <v>3666132.39</v>
      </c>
      <c r="Q65" s="130">
        <v>0</v>
      </c>
      <c r="R65" s="130">
        <v>0</v>
      </c>
      <c r="S65" s="130">
        <f t="shared" si="2"/>
        <v>3666132.39</v>
      </c>
      <c r="T65" s="130">
        <f t="shared" si="0"/>
        <v>1280.8344303532124</v>
      </c>
      <c r="U65" s="130">
        <f>T65</f>
        <v>1280.8344303532124</v>
      </c>
    </row>
    <row r="66" spans="1:21" s="64" customFormat="1" ht="36" customHeight="1" x14ac:dyDescent="0.9">
      <c r="A66" s="64">
        <v>1</v>
      </c>
      <c r="B66" s="96">
        <f>SUBTOTAL(103,$A$16:A66)</f>
        <v>51</v>
      </c>
      <c r="C66" s="94" t="s">
        <v>546</v>
      </c>
      <c r="D66" s="138">
        <v>1995</v>
      </c>
      <c r="E66" s="138"/>
      <c r="F66" s="167" t="s">
        <v>319</v>
      </c>
      <c r="G66" s="138" t="s">
        <v>359</v>
      </c>
      <c r="H66" s="138">
        <v>4</v>
      </c>
      <c r="I66" s="130">
        <v>8497.7000000000007</v>
      </c>
      <c r="J66" s="130">
        <v>6287.1</v>
      </c>
      <c r="K66" s="130">
        <v>5664.6</v>
      </c>
      <c r="L66" s="139">
        <v>206</v>
      </c>
      <c r="M66" s="138" t="s">
        <v>271</v>
      </c>
      <c r="N66" s="138" t="s">
        <v>275</v>
      </c>
      <c r="O66" s="136" t="s">
        <v>1037</v>
      </c>
      <c r="P66" s="130">
        <v>4995256.4400000004</v>
      </c>
      <c r="Q66" s="130">
        <v>0</v>
      </c>
      <c r="R66" s="130">
        <v>0</v>
      </c>
      <c r="S66" s="130">
        <f t="shared" si="2"/>
        <v>4995256.4400000004</v>
      </c>
      <c r="T66" s="130">
        <f t="shared" si="0"/>
        <v>587.83628981959828</v>
      </c>
      <c r="U66" s="130">
        <v>3210.8337093438618</v>
      </c>
    </row>
    <row r="67" spans="1:21" s="64" customFormat="1" ht="36" customHeight="1" x14ac:dyDescent="0.9">
      <c r="A67" s="64">
        <v>1</v>
      </c>
      <c r="B67" s="96">
        <f>SUBTOTAL(103,$A$16:A67)</f>
        <v>52</v>
      </c>
      <c r="C67" s="94" t="s">
        <v>547</v>
      </c>
      <c r="D67" s="138">
        <v>1988</v>
      </c>
      <c r="E67" s="138"/>
      <c r="F67" s="167" t="s">
        <v>273</v>
      </c>
      <c r="G67" s="138">
        <v>2</v>
      </c>
      <c r="H67" s="138">
        <v>2</v>
      </c>
      <c r="I67" s="130">
        <v>1063.8</v>
      </c>
      <c r="J67" s="130">
        <v>570.29999999999995</v>
      </c>
      <c r="K67" s="130">
        <v>570.29999999999995</v>
      </c>
      <c r="L67" s="139">
        <v>36</v>
      </c>
      <c r="M67" s="138" t="s">
        <v>271</v>
      </c>
      <c r="N67" s="138" t="s">
        <v>275</v>
      </c>
      <c r="O67" s="136" t="s">
        <v>1042</v>
      </c>
      <c r="P67" s="130">
        <v>2348490.67</v>
      </c>
      <c r="Q67" s="130">
        <v>0</v>
      </c>
      <c r="R67" s="130">
        <v>0</v>
      </c>
      <c r="S67" s="130">
        <f t="shared" si="2"/>
        <v>2348490.67</v>
      </c>
      <c r="T67" s="130">
        <f t="shared" si="0"/>
        <v>2207.6430438052266</v>
      </c>
      <c r="U67" s="130">
        <f>T67</f>
        <v>2207.6430438052266</v>
      </c>
    </row>
    <row r="68" spans="1:21" s="64" customFormat="1" ht="36" customHeight="1" x14ac:dyDescent="0.9">
      <c r="A68" s="64">
        <v>1</v>
      </c>
      <c r="B68" s="96">
        <f>SUBTOTAL(103,$A$16:A68)</f>
        <v>53</v>
      </c>
      <c r="C68" s="94" t="s">
        <v>1449</v>
      </c>
      <c r="D68" s="138">
        <v>1971</v>
      </c>
      <c r="E68" s="138"/>
      <c r="F68" s="167" t="s">
        <v>273</v>
      </c>
      <c r="G68" s="138">
        <v>9</v>
      </c>
      <c r="H68" s="138">
        <v>1</v>
      </c>
      <c r="I68" s="130">
        <v>1902</v>
      </c>
      <c r="J68" s="130">
        <v>1902</v>
      </c>
      <c r="K68" s="130">
        <v>1785.6</v>
      </c>
      <c r="L68" s="139">
        <v>135</v>
      </c>
      <c r="M68" s="138" t="s">
        <v>271</v>
      </c>
      <c r="N68" s="138" t="s">
        <v>275</v>
      </c>
      <c r="O68" s="136" t="s">
        <v>1140</v>
      </c>
      <c r="P68" s="130">
        <v>1604223.25</v>
      </c>
      <c r="Q68" s="130">
        <v>0</v>
      </c>
      <c r="R68" s="130">
        <v>0</v>
      </c>
      <c r="S68" s="130">
        <f t="shared" si="2"/>
        <v>1604223.25</v>
      </c>
      <c r="T68" s="130">
        <f t="shared" si="0"/>
        <v>843.44019453207147</v>
      </c>
      <c r="U68" s="130">
        <v>2033.395557598039</v>
      </c>
    </row>
    <row r="69" spans="1:21" s="64" customFormat="1" ht="36" customHeight="1" x14ac:dyDescent="0.9">
      <c r="A69" s="64">
        <v>1</v>
      </c>
      <c r="B69" s="96">
        <f>SUBTOTAL(103,$A$16:A69)</f>
        <v>54</v>
      </c>
      <c r="C69" s="94" t="s">
        <v>1477</v>
      </c>
      <c r="D69" s="138">
        <v>1961</v>
      </c>
      <c r="E69" s="138"/>
      <c r="F69" s="167" t="s">
        <v>273</v>
      </c>
      <c r="G69" s="138">
        <v>5</v>
      </c>
      <c r="H69" s="138">
        <v>3</v>
      </c>
      <c r="I69" s="130">
        <v>2564.1</v>
      </c>
      <c r="J69" s="130">
        <v>2365.9</v>
      </c>
      <c r="K69" s="130">
        <v>2308.6</v>
      </c>
      <c r="L69" s="139">
        <v>130</v>
      </c>
      <c r="M69" s="138" t="s">
        <v>271</v>
      </c>
      <c r="N69" s="138" t="s">
        <v>275</v>
      </c>
      <c r="O69" s="136" t="s">
        <v>1461</v>
      </c>
      <c r="P69" s="130">
        <v>3884747.5999999996</v>
      </c>
      <c r="Q69" s="130">
        <v>0</v>
      </c>
      <c r="R69" s="130">
        <v>0</v>
      </c>
      <c r="S69" s="130">
        <f t="shared" si="2"/>
        <v>3884747.5999999996</v>
      </c>
      <c r="T69" s="130">
        <f t="shared" si="0"/>
        <v>1515.053079053079</v>
      </c>
      <c r="U69" s="130">
        <v>2161.7258972125437</v>
      </c>
    </row>
    <row r="70" spans="1:21" s="64" customFormat="1" ht="36" customHeight="1" x14ac:dyDescent="0.9">
      <c r="A70" s="64">
        <v>1</v>
      </c>
      <c r="B70" s="96">
        <f>SUBTOTAL(103,$A$16:A70)</f>
        <v>55</v>
      </c>
      <c r="C70" s="94" t="s">
        <v>1450</v>
      </c>
      <c r="D70" s="138">
        <v>1973</v>
      </c>
      <c r="E70" s="138"/>
      <c r="F70" s="167" t="s">
        <v>273</v>
      </c>
      <c r="G70" s="138">
        <v>9</v>
      </c>
      <c r="H70" s="138">
        <v>1</v>
      </c>
      <c r="I70" s="130">
        <v>1958.4</v>
      </c>
      <c r="J70" s="130">
        <v>1941.8</v>
      </c>
      <c r="K70" s="130">
        <v>1860.4</v>
      </c>
      <c r="L70" s="139">
        <v>135</v>
      </c>
      <c r="M70" s="138" t="s">
        <v>271</v>
      </c>
      <c r="N70" s="138" t="s">
        <v>275</v>
      </c>
      <c r="O70" s="136" t="s">
        <v>1462</v>
      </c>
      <c r="P70" s="130">
        <v>2248303</v>
      </c>
      <c r="Q70" s="130">
        <v>0</v>
      </c>
      <c r="R70" s="130">
        <v>0</v>
      </c>
      <c r="S70" s="130">
        <f t="shared" si="2"/>
        <v>2248303</v>
      </c>
      <c r="T70" s="130">
        <f t="shared" si="0"/>
        <v>1148.0305351307188</v>
      </c>
      <c r="U70" s="130">
        <v>6418.2085850052799</v>
      </c>
    </row>
    <row r="71" spans="1:21" s="64" customFormat="1" ht="36" customHeight="1" x14ac:dyDescent="0.9">
      <c r="A71" s="64">
        <v>1</v>
      </c>
      <c r="B71" s="96">
        <f>SUBTOTAL(103,$A$16:A71)</f>
        <v>56</v>
      </c>
      <c r="C71" s="94" t="s">
        <v>1451</v>
      </c>
      <c r="D71" s="138">
        <v>1963</v>
      </c>
      <c r="E71" s="138"/>
      <c r="F71" s="167" t="s">
        <v>273</v>
      </c>
      <c r="G71" s="138">
        <v>5</v>
      </c>
      <c r="H71" s="138">
        <v>3</v>
      </c>
      <c r="I71" s="130">
        <v>2525.6</v>
      </c>
      <c r="J71" s="130">
        <v>1560.2</v>
      </c>
      <c r="K71" s="130">
        <v>1560.2</v>
      </c>
      <c r="L71" s="139">
        <v>130</v>
      </c>
      <c r="M71" s="138" t="s">
        <v>271</v>
      </c>
      <c r="N71" s="138" t="s">
        <v>275</v>
      </c>
      <c r="O71" s="136" t="s">
        <v>1463</v>
      </c>
      <c r="P71" s="130">
        <v>4273347.84</v>
      </c>
      <c r="Q71" s="130">
        <v>0</v>
      </c>
      <c r="R71" s="130">
        <v>0</v>
      </c>
      <c r="S71" s="130">
        <f t="shared" si="2"/>
        <v>4273347.84</v>
      </c>
      <c r="T71" s="130">
        <f t="shared" si="0"/>
        <v>1692.0129236617042</v>
      </c>
      <c r="U71" s="130">
        <f>T71</f>
        <v>1692.0129236617042</v>
      </c>
    </row>
    <row r="72" spans="1:21" s="64" customFormat="1" ht="36" customHeight="1" x14ac:dyDescent="0.9">
      <c r="A72" s="64">
        <v>1</v>
      </c>
      <c r="B72" s="96">
        <f>SUBTOTAL(103,$A$16:A72)</f>
        <v>57</v>
      </c>
      <c r="C72" s="94" t="s">
        <v>1452</v>
      </c>
      <c r="D72" s="138">
        <v>1960</v>
      </c>
      <c r="E72" s="138"/>
      <c r="F72" s="167" t="s">
        <v>273</v>
      </c>
      <c r="G72" s="138">
        <v>2</v>
      </c>
      <c r="H72" s="138">
        <v>2</v>
      </c>
      <c r="I72" s="130">
        <v>662.9</v>
      </c>
      <c r="J72" s="130">
        <v>622.9</v>
      </c>
      <c r="K72" s="130">
        <v>622.9</v>
      </c>
      <c r="L72" s="139">
        <v>40</v>
      </c>
      <c r="M72" s="138" t="s">
        <v>271</v>
      </c>
      <c r="N72" s="138" t="s">
        <v>275</v>
      </c>
      <c r="O72" s="136" t="s">
        <v>1401</v>
      </c>
      <c r="P72" s="130">
        <v>2324213.5</v>
      </c>
      <c r="Q72" s="130">
        <v>0</v>
      </c>
      <c r="R72" s="130">
        <v>0</v>
      </c>
      <c r="S72" s="130">
        <f t="shared" si="2"/>
        <v>2324213.5</v>
      </c>
      <c r="T72" s="130">
        <f t="shared" si="0"/>
        <v>3506.1298838437169</v>
      </c>
      <c r="U72" s="130">
        <v>6772.4263552419561</v>
      </c>
    </row>
    <row r="73" spans="1:21" s="64" customFormat="1" ht="36" customHeight="1" x14ac:dyDescent="0.9">
      <c r="A73" s="64">
        <v>1</v>
      </c>
      <c r="B73" s="96">
        <f>SUBTOTAL(103,$A$16:A73)</f>
        <v>58</v>
      </c>
      <c r="C73" s="94" t="s">
        <v>1163</v>
      </c>
      <c r="D73" s="138">
        <v>1991</v>
      </c>
      <c r="E73" s="138"/>
      <c r="F73" s="167" t="s">
        <v>319</v>
      </c>
      <c r="G73" s="138">
        <v>9</v>
      </c>
      <c r="H73" s="138">
        <v>3</v>
      </c>
      <c r="I73" s="130">
        <v>6815.3</v>
      </c>
      <c r="J73" s="130">
        <v>6295.6</v>
      </c>
      <c r="K73" s="130">
        <v>5711.2</v>
      </c>
      <c r="L73" s="139">
        <v>251</v>
      </c>
      <c r="M73" s="138" t="s">
        <v>271</v>
      </c>
      <c r="N73" s="138" t="s">
        <v>275</v>
      </c>
      <c r="O73" s="136" t="s">
        <v>357</v>
      </c>
      <c r="P73" s="130">
        <v>4363443.18</v>
      </c>
      <c r="Q73" s="130">
        <v>0</v>
      </c>
      <c r="R73" s="130">
        <v>0</v>
      </c>
      <c r="S73" s="130">
        <f t="shared" si="2"/>
        <v>4363443.18</v>
      </c>
      <c r="T73" s="130">
        <f t="shared" si="0"/>
        <v>640.24227546843122</v>
      </c>
      <c r="U73" s="130">
        <v>4026.6516555274407</v>
      </c>
    </row>
    <row r="74" spans="1:21" s="64" customFormat="1" ht="36" customHeight="1" x14ac:dyDescent="0.9">
      <c r="A74" s="64">
        <v>1</v>
      </c>
      <c r="B74" s="96">
        <f>SUBTOTAL(103,$A$16:A74)</f>
        <v>59</v>
      </c>
      <c r="C74" s="94" t="s">
        <v>1164</v>
      </c>
      <c r="D74" s="138">
        <v>1956</v>
      </c>
      <c r="E74" s="138"/>
      <c r="F74" s="167" t="s">
        <v>273</v>
      </c>
      <c r="G74" s="138">
        <v>5</v>
      </c>
      <c r="H74" s="138">
        <v>6</v>
      </c>
      <c r="I74" s="130">
        <v>6143.7</v>
      </c>
      <c r="J74" s="130">
        <v>5611.8</v>
      </c>
      <c r="K74" s="130">
        <v>4995.2</v>
      </c>
      <c r="L74" s="139">
        <v>163</v>
      </c>
      <c r="M74" s="138" t="s">
        <v>271</v>
      </c>
      <c r="N74" s="138" t="s">
        <v>349</v>
      </c>
      <c r="O74" s="136" t="s">
        <v>1391</v>
      </c>
      <c r="P74" s="130">
        <v>10920400.76</v>
      </c>
      <c r="Q74" s="130">
        <v>0</v>
      </c>
      <c r="R74" s="130">
        <v>0</v>
      </c>
      <c r="S74" s="130">
        <f t="shared" si="2"/>
        <v>10920400.76</v>
      </c>
      <c r="T74" s="130">
        <f t="shared" si="0"/>
        <v>1777.4957696502108</v>
      </c>
      <c r="U74" s="130">
        <f>T74</f>
        <v>1777.4957696502108</v>
      </c>
    </row>
    <row r="75" spans="1:21" s="64" customFormat="1" ht="36" customHeight="1" x14ac:dyDescent="0.9">
      <c r="A75" s="64">
        <v>1</v>
      </c>
      <c r="B75" s="96">
        <f>SUBTOTAL(103,$A$16:A75)</f>
        <v>60</v>
      </c>
      <c r="C75" s="94" t="s">
        <v>1165</v>
      </c>
      <c r="D75" s="138">
        <v>1959</v>
      </c>
      <c r="E75" s="138"/>
      <c r="F75" s="167" t="s">
        <v>273</v>
      </c>
      <c r="G75" s="138">
        <v>5</v>
      </c>
      <c r="H75" s="138">
        <v>4</v>
      </c>
      <c r="I75" s="130">
        <v>6876.6</v>
      </c>
      <c r="J75" s="130">
        <v>5622.29</v>
      </c>
      <c r="K75" s="130">
        <v>5003.59</v>
      </c>
      <c r="L75" s="139">
        <v>154</v>
      </c>
      <c r="M75" s="138" t="s">
        <v>271</v>
      </c>
      <c r="N75" s="138" t="s">
        <v>275</v>
      </c>
      <c r="O75" s="136" t="s">
        <v>1392</v>
      </c>
      <c r="P75" s="130">
        <v>5593157.79</v>
      </c>
      <c r="Q75" s="130">
        <v>0</v>
      </c>
      <c r="R75" s="130">
        <v>0</v>
      </c>
      <c r="S75" s="130">
        <f t="shared" ref="S75:S114" si="3">P75-Q75-R75</f>
        <v>5593157.79</v>
      </c>
      <c r="T75" s="130">
        <f t="shared" si="0"/>
        <v>813.3609327283832</v>
      </c>
      <c r="U75" s="130">
        <v>2937.373116580311</v>
      </c>
    </row>
    <row r="76" spans="1:21" s="64" customFormat="1" ht="36" customHeight="1" x14ac:dyDescent="0.9">
      <c r="A76" s="64">
        <v>1</v>
      </c>
      <c r="B76" s="96">
        <f>SUBTOTAL(103,$A$16:A76)</f>
        <v>61</v>
      </c>
      <c r="C76" s="94" t="s">
        <v>1166</v>
      </c>
      <c r="D76" s="138">
        <v>1974</v>
      </c>
      <c r="E76" s="138"/>
      <c r="F76" s="167" t="s">
        <v>273</v>
      </c>
      <c r="G76" s="138">
        <v>5</v>
      </c>
      <c r="H76" s="138">
        <v>4</v>
      </c>
      <c r="I76" s="130">
        <v>4917</v>
      </c>
      <c r="J76" s="130">
        <v>4801.3</v>
      </c>
      <c r="K76" s="130">
        <v>4321.2</v>
      </c>
      <c r="L76" s="139">
        <v>125</v>
      </c>
      <c r="M76" s="138" t="s">
        <v>271</v>
      </c>
      <c r="N76" s="138" t="s">
        <v>275</v>
      </c>
      <c r="O76" s="136" t="s">
        <v>1035</v>
      </c>
      <c r="P76" s="130">
        <v>2451551.34</v>
      </c>
      <c r="Q76" s="130">
        <v>0</v>
      </c>
      <c r="R76" s="130">
        <v>0</v>
      </c>
      <c r="S76" s="130">
        <f t="shared" si="3"/>
        <v>2451551.34</v>
      </c>
      <c r="T76" s="130">
        <f t="shared" si="0"/>
        <v>498.58680902989624</v>
      </c>
      <c r="U76" s="130">
        <v>1861.4458600648036</v>
      </c>
    </row>
    <row r="77" spans="1:21" s="64" customFormat="1" ht="36" customHeight="1" x14ac:dyDescent="0.9">
      <c r="A77" s="64">
        <v>1</v>
      </c>
      <c r="B77" s="96">
        <f>SUBTOTAL(103,$A$16:A77)</f>
        <v>62</v>
      </c>
      <c r="C77" s="94" t="s">
        <v>1167</v>
      </c>
      <c r="D77" s="138">
        <v>1972</v>
      </c>
      <c r="E77" s="138"/>
      <c r="F77" s="167" t="s">
        <v>273</v>
      </c>
      <c r="G77" s="138">
        <v>4</v>
      </c>
      <c r="H77" s="138">
        <v>1</v>
      </c>
      <c r="I77" s="130">
        <v>772</v>
      </c>
      <c r="J77" s="130">
        <v>596</v>
      </c>
      <c r="K77" s="130">
        <v>375</v>
      </c>
      <c r="L77" s="139">
        <v>26</v>
      </c>
      <c r="M77" s="138" t="s">
        <v>271</v>
      </c>
      <c r="N77" s="138" t="s">
        <v>275</v>
      </c>
      <c r="O77" s="136" t="s">
        <v>1393</v>
      </c>
      <c r="P77" s="130">
        <v>859223.61</v>
      </c>
      <c r="Q77" s="130">
        <v>0</v>
      </c>
      <c r="R77" s="130">
        <v>0</v>
      </c>
      <c r="S77" s="130">
        <f t="shared" si="3"/>
        <v>859223.61</v>
      </c>
      <c r="T77" s="130">
        <f t="shared" si="0"/>
        <v>1112.9839507772022</v>
      </c>
      <c r="U77" s="130">
        <v>8666.4588938618926</v>
      </c>
    </row>
    <row r="78" spans="1:21" s="64" customFormat="1" ht="36" customHeight="1" x14ac:dyDescent="0.9">
      <c r="A78" s="64">
        <v>1</v>
      </c>
      <c r="B78" s="96">
        <f>SUBTOTAL(103,$A$16:A78)</f>
        <v>63</v>
      </c>
      <c r="C78" s="94" t="s">
        <v>1168</v>
      </c>
      <c r="D78" s="138">
        <v>1975</v>
      </c>
      <c r="E78" s="138"/>
      <c r="F78" s="167" t="s">
        <v>273</v>
      </c>
      <c r="G78" s="138">
        <v>5</v>
      </c>
      <c r="H78" s="138">
        <v>3</v>
      </c>
      <c r="I78" s="130">
        <v>2962.8</v>
      </c>
      <c r="J78" s="130">
        <v>2688.5</v>
      </c>
      <c r="K78" s="130">
        <v>2688.5</v>
      </c>
      <c r="L78" s="139">
        <v>96</v>
      </c>
      <c r="M78" s="138" t="s">
        <v>271</v>
      </c>
      <c r="N78" s="138" t="s">
        <v>275</v>
      </c>
      <c r="O78" s="136" t="s">
        <v>358</v>
      </c>
      <c r="P78" s="130">
        <v>3483123.9099999997</v>
      </c>
      <c r="Q78" s="130">
        <v>0</v>
      </c>
      <c r="R78" s="130">
        <v>0</v>
      </c>
      <c r="S78" s="130">
        <f t="shared" si="3"/>
        <v>3483123.9099999997</v>
      </c>
      <c r="T78" s="130">
        <f t="shared" ref="T78:T141" si="4">P78/I78</f>
        <v>1175.6189786688267</v>
      </c>
      <c r="U78" s="130">
        <v>1514.2454812444782</v>
      </c>
    </row>
    <row r="79" spans="1:21" s="64" customFormat="1" ht="36" customHeight="1" x14ac:dyDescent="0.9">
      <c r="A79" s="64">
        <v>1</v>
      </c>
      <c r="B79" s="96">
        <f>SUBTOTAL(103,$A$16:A79)</f>
        <v>64</v>
      </c>
      <c r="C79" s="94" t="s">
        <v>1169</v>
      </c>
      <c r="D79" s="138">
        <v>1974</v>
      </c>
      <c r="E79" s="138"/>
      <c r="F79" s="167" t="s">
        <v>273</v>
      </c>
      <c r="G79" s="138">
        <v>6</v>
      </c>
      <c r="H79" s="138">
        <v>1</v>
      </c>
      <c r="I79" s="130">
        <v>938.4</v>
      </c>
      <c r="J79" s="130">
        <v>865.7</v>
      </c>
      <c r="K79" s="130">
        <v>563.9</v>
      </c>
      <c r="L79" s="139">
        <v>22</v>
      </c>
      <c r="M79" s="138" t="s">
        <v>271</v>
      </c>
      <c r="N79" s="138" t="s">
        <v>275</v>
      </c>
      <c r="O79" s="136" t="s">
        <v>357</v>
      </c>
      <c r="P79" s="130">
        <v>4301356.74</v>
      </c>
      <c r="Q79" s="130">
        <v>0</v>
      </c>
      <c r="R79" s="130">
        <v>0</v>
      </c>
      <c r="S79" s="130">
        <f t="shared" si="3"/>
        <v>4301356.74</v>
      </c>
      <c r="T79" s="130">
        <f t="shared" si="4"/>
        <v>4583.7134910485938</v>
      </c>
      <c r="U79" s="130">
        <f>T79</f>
        <v>4583.7134910485938</v>
      </c>
    </row>
    <row r="80" spans="1:21" s="64" customFormat="1" ht="36" customHeight="1" x14ac:dyDescent="0.9">
      <c r="A80" s="64">
        <v>1</v>
      </c>
      <c r="B80" s="96">
        <f>SUBTOTAL(103,$A$16:A80)</f>
        <v>65</v>
      </c>
      <c r="C80" s="94" t="s">
        <v>1170</v>
      </c>
      <c r="D80" s="138">
        <v>1971</v>
      </c>
      <c r="E80" s="138"/>
      <c r="F80" s="167" t="s">
        <v>273</v>
      </c>
      <c r="G80" s="138">
        <v>5</v>
      </c>
      <c r="H80" s="138">
        <v>4</v>
      </c>
      <c r="I80" s="130">
        <v>4188.1000000000004</v>
      </c>
      <c r="J80" s="130">
        <v>3145.2</v>
      </c>
      <c r="K80" s="130">
        <v>3047.4</v>
      </c>
      <c r="L80" s="139">
        <v>153</v>
      </c>
      <c r="M80" s="138" t="s">
        <v>271</v>
      </c>
      <c r="N80" s="138" t="s">
        <v>275</v>
      </c>
      <c r="O80" s="136" t="s">
        <v>848</v>
      </c>
      <c r="P80" s="130">
        <v>5210513.3099999996</v>
      </c>
      <c r="Q80" s="130">
        <v>0</v>
      </c>
      <c r="R80" s="130">
        <v>0</v>
      </c>
      <c r="S80" s="130">
        <f t="shared" si="3"/>
        <v>5210513.3099999996</v>
      </c>
      <c r="T80" s="130">
        <f t="shared" si="4"/>
        <v>1244.1234235094671</v>
      </c>
      <c r="U80" s="130">
        <v>1579.2578170665704</v>
      </c>
    </row>
    <row r="81" spans="1:21" s="64" customFormat="1" ht="36" customHeight="1" x14ac:dyDescent="0.9">
      <c r="A81" s="64">
        <v>1</v>
      </c>
      <c r="B81" s="96">
        <f>SUBTOTAL(103,$A$16:A81)</f>
        <v>66</v>
      </c>
      <c r="C81" s="94" t="s">
        <v>1171</v>
      </c>
      <c r="D81" s="138">
        <v>1969</v>
      </c>
      <c r="E81" s="138"/>
      <c r="F81" s="167" t="s">
        <v>273</v>
      </c>
      <c r="G81" s="138">
        <v>5</v>
      </c>
      <c r="H81" s="138">
        <v>4</v>
      </c>
      <c r="I81" s="130">
        <v>4279.8</v>
      </c>
      <c r="J81" s="130">
        <v>3264.2</v>
      </c>
      <c r="K81" s="130">
        <v>3174.6</v>
      </c>
      <c r="L81" s="139">
        <v>136</v>
      </c>
      <c r="M81" s="138" t="s">
        <v>271</v>
      </c>
      <c r="N81" s="138" t="s">
        <v>275</v>
      </c>
      <c r="O81" s="136" t="s">
        <v>1394</v>
      </c>
      <c r="P81" s="130">
        <v>3384245.77</v>
      </c>
      <c r="Q81" s="130">
        <v>0</v>
      </c>
      <c r="R81" s="130">
        <v>0</v>
      </c>
      <c r="S81" s="130">
        <f t="shared" si="3"/>
        <v>3384245.77</v>
      </c>
      <c r="T81" s="130">
        <f t="shared" si="4"/>
        <v>790.74857937286788</v>
      </c>
      <c r="U81" s="130">
        <v>1608.0385268744433</v>
      </c>
    </row>
    <row r="82" spans="1:21" s="64" customFormat="1" ht="36" customHeight="1" x14ac:dyDescent="0.9">
      <c r="A82" s="64">
        <v>1</v>
      </c>
      <c r="B82" s="96">
        <f>SUBTOTAL(103,$A$16:A82)</f>
        <v>67</v>
      </c>
      <c r="C82" s="94" t="s">
        <v>1172</v>
      </c>
      <c r="D82" s="138">
        <v>1968</v>
      </c>
      <c r="E82" s="138"/>
      <c r="F82" s="167" t="s">
        <v>319</v>
      </c>
      <c r="G82" s="138">
        <v>5</v>
      </c>
      <c r="H82" s="138">
        <v>4</v>
      </c>
      <c r="I82" s="130">
        <v>3880.1</v>
      </c>
      <c r="J82" s="130">
        <v>3555.2</v>
      </c>
      <c r="K82" s="130">
        <v>3380.5</v>
      </c>
      <c r="L82" s="139">
        <v>167</v>
      </c>
      <c r="M82" s="138" t="s">
        <v>271</v>
      </c>
      <c r="N82" s="138" t="s">
        <v>275</v>
      </c>
      <c r="O82" s="136" t="s">
        <v>1035</v>
      </c>
      <c r="P82" s="130">
        <v>4374326.75</v>
      </c>
      <c r="Q82" s="130">
        <v>0</v>
      </c>
      <c r="R82" s="130">
        <v>0</v>
      </c>
      <c r="S82" s="130">
        <f t="shared" si="3"/>
        <v>4374326.75</v>
      </c>
      <c r="T82" s="130">
        <f t="shared" si="4"/>
        <v>1127.3747454962502</v>
      </c>
      <c r="U82" s="130">
        <v>3975.6710264150943</v>
      </c>
    </row>
    <row r="83" spans="1:21" s="64" customFormat="1" ht="36" customHeight="1" x14ac:dyDescent="0.9">
      <c r="A83" s="64">
        <v>1</v>
      </c>
      <c r="B83" s="96">
        <f>SUBTOTAL(103,$A$16:A83)</f>
        <v>68</v>
      </c>
      <c r="C83" s="94" t="s">
        <v>1173</v>
      </c>
      <c r="D83" s="138">
        <v>1968</v>
      </c>
      <c r="E83" s="138"/>
      <c r="F83" s="167" t="s">
        <v>319</v>
      </c>
      <c r="G83" s="138">
        <v>5</v>
      </c>
      <c r="H83" s="138">
        <v>3</v>
      </c>
      <c r="I83" s="130">
        <v>2807.5</v>
      </c>
      <c r="J83" s="130">
        <v>2603.5</v>
      </c>
      <c r="K83" s="130">
        <v>2603.5</v>
      </c>
      <c r="L83" s="139">
        <v>114</v>
      </c>
      <c r="M83" s="138" t="s">
        <v>271</v>
      </c>
      <c r="N83" s="138" t="s">
        <v>275</v>
      </c>
      <c r="O83" s="136" t="s">
        <v>1035</v>
      </c>
      <c r="P83" s="130">
        <v>3308655.5</v>
      </c>
      <c r="Q83" s="130">
        <v>0</v>
      </c>
      <c r="R83" s="130">
        <v>0</v>
      </c>
      <c r="S83" s="130">
        <f t="shared" si="3"/>
        <v>3308655.5</v>
      </c>
      <c r="T83" s="130">
        <f t="shared" si="4"/>
        <v>1178.505966162066</v>
      </c>
      <c r="U83" s="130">
        <v>7213.3302114307062</v>
      </c>
    </row>
    <row r="84" spans="1:21" s="64" customFormat="1" ht="36" customHeight="1" x14ac:dyDescent="0.9">
      <c r="A84" s="64">
        <v>1</v>
      </c>
      <c r="B84" s="96">
        <f>SUBTOTAL(103,$A$16:A84)</f>
        <v>69</v>
      </c>
      <c r="C84" s="94" t="s">
        <v>1174</v>
      </c>
      <c r="D84" s="138">
        <v>1959</v>
      </c>
      <c r="E84" s="138"/>
      <c r="F84" s="167" t="s">
        <v>273</v>
      </c>
      <c r="G84" s="138">
        <v>4</v>
      </c>
      <c r="H84" s="138">
        <v>3</v>
      </c>
      <c r="I84" s="130">
        <v>2756</v>
      </c>
      <c r="J84" s="130">
        <v>2605</v>
      </c>
      <c r="K84" s="130">
        <v>2310</v>
      </c>
      <c r="L84" s="139">
        <v>91</v>
      </c>
      <c r="M84" s="138" t="s">
        <v>271</v>
      </c>
      <c r="N84" s="138" t="s">
        <v>275</v>
      </c>
      <c r="O84" s="136" t="s">
        <v>1038</v>
      </c>
      <c r="P84" s="130">
        <v>2785299.21</v>
      </c>
      <c r="Q84" s="130">
        <v>0</v>
      </c>
      <c r="R84" s="130">
        <v>0</v>
      </c>
      <c r="S84" s="130">
        <f t="shared" si="3"/>
        <v>2785299.21</v>
      </c>
      <c r="T84" s="130">
        <f t="shared" si="4"/>
        <v>1010.6310631349783</v>
      </c>
      <c r="U84" s="130">
        <v>1667.7685132900176</v>
      </c>
    </row>
    <row r="85" spans="1:21" s="64" customFormat="1" ht="36" customHeight="1" x14ac:dyDescent="0.9">
      <c r="A85" s="64">
        <v>1</v>
      </c>
      <c r="B85" s="96">
        <f>SUBTOTAL(103,$A$16:A85)</f>
        <v>70</v>
      </c>
      <c r="C85" s="94" t="s">
        <v>1175</v>
      </c>
      <c r="D85" s="138">
        <v>1959</v>
      </c>
      <c r="E85" s="138"/>
      <c r="F85" s="167" t="s">
        <v>273</v>
      </c>
      <c r="G85" s="138">
        <v>3</v>
      </c>
      <c r="H85" s="138">
        <v>3</v>
      </c>
      <c r="I85" s="130">
        <v>1338.5</v>
      </c>
      <c r="J85" s="130">
        <v>1165.2</v>
      </c>
      <c r="K85" s="130">
        <v>1165.2</v>
      </c>
      <c r="L85" s="139">
        <v>41</v>
      </c>
      <c r="M85" s="138" t="s">
        <v>271</v>
      </c>
      <c r="N85" s="138" t="s">
        <v>275</v>
      </c>
      <c r="O85" s="136" t="s">
        <v>358</v>
      </c>
      <c r="P85" s="130">
        <v>5678840</v>
      </c>
      <c r="Q85" s="130">
        <v>0</v>
      </c>
      <c r="R85" s="130">
        <v>0</v>
      </c>
      <c r="S85" s="130">
        <f t="shared" si="3"/>
        <v>5678840</v>
      </c>
      <c r="T85" s="130">
        <f t="shared" si="4"/>
        <v>4242.6895778856933</v>
      </c>
      <c r="U85" s="130">
        <v>7985.8694787688155</v>
      </c>
    </row>
    <row r="86" spans="1:21" s="64" customFormat="1" ht="36" customHeight="1" x14ac:dyDescent="0.9">
      <c r="A86" s="64">
        <v>1</v>
      </c>
      <c r="B86" s="96">
        <f>SUBTOTAL(103,$A$16:A86)</f>
        <v>71</v>
      </c>
      <c r="C86" s="94" t="s">
        <v>1176</v>
      </c>
      <c r="D86" s="138">
        <v>1974</v>
      </c>
      <c r="E86" s="138"/>
      <c r="F86" s="167" t="s">
        <v>319</v>
      </c>
      <c r="G86" s="138">
        <v>5</v>
      </c>
      <c r="H86" s="138">
        <v>5</v>
      </c>
      <c r="I86" s="130">
        <v>3386</v>
      </c>
      <c r="J86" s="130">
        <v>3284.4</v>
      </c>
      <c r="K86" s="130">
        <v>3120.2</v>
      </c>
      <c r="L86" s="139">
        <v>195</v>
      </c>
      <c r="M86" s="138" t="s">
        <v>271</v>
      </c>
      <c r="N86" s="138" t="s">
        <v>275</v>
      </c>
      <c r="O86" s="136" t="s">
        <v>1395</v>
      </c>
      <c r="P86" s="130">
        <v>2467681.02</v>
      </c>
      <c r="Q86" s="130">
        <v>0</v>
      </c>
      <c r="R86" s="130">
        <v>0</v>
      </c>
      <c r="S86" s="130">
        <f t="shared" si="3"/>
        <v>2467681.02</v>
      </c>
      <c r="T86" s="130">
        <f t="shared" si="4"/>
        <v>728.78943295924398</v>
      </c>
      <c r="U86" s="130">
        <v>2244.7344667940756</v>
      </c>
    </row>
    <row r="87" spans="1:21" s="64" customFormat="1" ht="36" customHeight="1" x14ac:dyDescent="0.9">
      <c r="A87" s="64">
        <v>1</v>
      </c>
      <c r="B87" s="96">
        <f>SUBTOTAL(103,$A$16:A87)</f>
        <v>72</v>
      </c>
      <c r="C87" s="94" t="s">
        <v>1177</v>
      </c>
      <c r="D87" s="138">
        <v>1959</v>
      </c>
      <c r="E87" s="138"/>
      <c r="F87" s="167" t="s">
        <v>273</v>
      </c>
      <c r="G87" s="138">
        <v>2</v>
      </c>
      <c r="H87" s="138">
        <v>1</v>
      </c>
      <c r="I87" s="130">
        <v>445.1</v>
      </c>
      <c r="J87" s="130">
        <v>400.5</v>
      </c>
      <c r="K87" s="130">
        <v>201.2</v>
      </c>
      <c r="L87" s="139">
        <v>21</v>
      </c>
      <c r="M87" s="138" t="s">
        <v>271</v>
      </c>
      <c r="N87" s="138" t="s">
        <v>275</v>
      </c>
      <c r="O87" s="136" t="s">
        <v>358</v>
      </c>
      <c r="P87" s="130">
        <v>2471999.4900000002</v>
      </c>
      <c r="Q87" s="130">
        <v>0</v>
      </c>
      <c r="R87" s="130">
        <v>0</v>
      </c>
      <c r="S87" s="130">
        <f t="shared" si="3"/>
        <v>2471999.4900000002</v>
      </c>
      <c r="T87" s="130">
        <f t="shared" si="4"/>
        <v>5553.8069871938897</v>
      </c>
      <c r="U87" s="130">
        <f t="shared" ref="U87:U89" si="5">T87</f>
        <v>5553.8069871938897</v>
      </c>
    </row>
    <row r="88" spans="1:21" s="64" customFormat="1" ht="36" customHeight="1" x14ac:dyDescent="0.9">
      <c r="A88" s="64">
        <v>1</v>
      </c>
      <c r="B88" s="96">
        <f>SUBTOTAL(103,$A$16:A88)</f>
        <v>73</v>
      </c>
      <c r="C88" s="94" t="s">
        <v>1178</v>
      </c>
      <c r="D88" s="138">
        <v>1972</v>
      </c>
      <c r="E88" s="138"/>
      <c r="F88" s="167" t="s">
        <v>273</v>
      </c>
      <c r="G88" s="138">
        <v>5</v>
      </c>
      <c r="H88" s="138">
        <v>4</v>
      </c>
      <c r="I88" s="130">
        <v>4186</v>
      </c>
      <c r="J88" s="130">
        <v>3864.2</v>
      </c>
      <c r="K88" s="130">
        <v>2705.8</v>
      </c>
      <c r="L88" s="139">
        <v>111</v>
      </c>
      <c r="M88" s="138" t="s">
        <v>271</v>
      </c>
      <c r="N88" s="138" t="s">
        <v>275</v>
      </c>
      <c r="O88" s="136" t="s">
        <v>1035</v>
      </c>
      <c r="P88" s="130">
        <v>3730864.3</v>
      </c>
      <c r="Q88" s="130">
        <v>0</v>
      </c>
      <c r="R88" s="130">
        <v>0</v>
      </c>
      <c r="S88" s="130">
        <f t="shared" si="3"/>
        <v>3730864.3</v>
      </c>
      <c r="T88" s="130">
        <f t="shared" si="4"/>
        <v>891.27193024366932</v>
      </c>
      <c r="U88" s="130">
        <f t="shared" si="5"/>
        <v>891.27193024366932</v>
      </c>
    </row>
    <row r="89" spans="1:21" s="64" customFormat="1" ht="36" customHeight="1" x14ac:dyDescent="0.9">
      <c r="A89" s="64">
        <v>1</v>
      </c>
      <c r="B89" s="96">
        <f>SUBTOTAL(103,$A$16:A89)</f>
        <v>74</v>
      </c>
      <c r="C89" s="94" t="s">
        <v>1179</v>
      </c>
      <c r="D89" s="138">
        <v>1969</v>
      </c>
      <c r="E89" s="138"/>
      <c r="F89" s="167" t="s">
        <v>273</v>
      </c>
      <c r="G89" s="138">
        <v>9</v>
      </c>
      <c r="H89" s="138">
        <v>1</v>
      </c>
      <c r="I89" s="130">
        <v>3340.9</v>
      </c>
      <c r="J89" s="130">
        <v>3067.1</v>
      </c>
      <c r="K89" s="130">
        <v>1971.8</v>
      </c>
      <c r="L89" s="139">
        <v>77</v>
      </c>
      <c r="M89" s="138" t="s">
        <v>271</v>
      </c>
      <c r="N89" s="138" t="s">
        <v>275</v>
      </c>
      <c r="O89" s="136" t="s">
        <v>1035</v>
      </c>
      <c r="P89" s="130">
        <v>2982453.63</v>
      </c>
      <c r="Q89" s="130">
        <v>0</v>
      </c>
      <c r="R89" s="130">
        <v>0</v>
      </c>
      <c r="S89" s="130">
        <f t="shared" si="3"/>
        <v>2982453.63</v>
      </c>
      <c r="T89" s="130">
        <f t="shared" si="4"/>
        <v>892.7096381214642</v>
      </c>
      <c r="U89" s="130">
        <f t="shared" si="5"/>
        <v>892.7096381214642</v>
      </c>
    </row>
    <row r="90" spans="1:21" s="64" customFormat="1" ht="36" customHeight="1" x14ac:dyDescent="0.9">
      <c r="A90" s="64">
        <v>1</v>
      </c>
      <c r="B90" s="96">
        <f>SUBTOTAL(103,$A$16:A90)</f>
        <v>75</v>
      </c>
      <c r="C90" s="94" t="s">
        <v>1180</v>
      </c>
      <c r="D90" s="138">
        <v>1968</v>
      </c>
      <c r="E90" s="138"/>
      <c r="F90" s="167" t="s">
        <v>273</v>
      </c>
      <c r="G90" s="138">
        <v>9</v>
      </c>
      <c r="H90" s="138">
        <v>1</v>
      </c>
      <c r="I90" s="130">
        <v>3060.1</v>
      </c>
      <c r="J90" s="130">
        <v>2799.7</v>
      </c>
      <c r="K90" s="130">
        <v>2031.6</v>
      </c>
      <c r="L90" s="139">
        <v>100</v>
      </c>
      <c r="M90" s="138" t="s">
        <v>271</v>
      </c>
      <c r="N90" s="138" t="s">
        <v>275</v>
      </c>
      <c r="O90" s="136" t="s">
        <v>1035</v>
      </c>
      <c r="P90" s="130">
        <v>1571848.57</v>
      </c>
      <c r="Q90" s="130">
        <v>0</v>
      </c>
      <c r="R90" s="130">
        <v>0</v>
      </c>
      <c r="S90" s="130">
        <f t="shared" si="3"/>
        <v>1571848.57</v>
      </c>
      <c r="T90" s="130">
        <f t="shared" si="4"/>
        <v>513.65921701905165</v>
      </c>
      <c r="U90" s="130">
        <v>862.52063334632146</v>
      </c>
    </row>
    <row r="91" spans="1:21" s="64" customFormat="1" ht="36" customHeight="1" x14ac:dyDescent="0.9">
      <c r="A91" s="64">
        <v>1</v>
      </c>
      <c r="B91" s="96">
        <f>SUBTOTAL(103,$A$16:A91)</f>
        <v>76</v>
      </c>
      <c r="C91" s="94" t="s">
        <v>1181</v>
      </c>
      <c r="D91" s="138">
        <v>1968</v>
      </c>
      <c r="E91" s="138"/>
      <c r="F91" s="167" t="s">
        <v>273</v>
      </c>
      <c r="G91" s="138">
        <v>9</v>
      </c>
      <c r="H91" s="138">
        <v>1</v>
      </c>
      <c r="I91" s="130">
        <v>3130.4</v>
      </c>
      <c r="J91" s="130">
        <v>2830</v>
      </c>
      <c r="K91" s="130">
        <v>1981.8</v>
      </c>
      <c r="L91" s="139">
        <v>82</v>
      </c>
      <c r="M91" s="138" t="s">
        <v>271</v>
      </c>
      <c r="N91" s="138" t="s">
        <v>275</v>
      </c>
      <c r="O91" s="136" t="s">
        <v>1035</v>
      </c>
      <c r="P91" s="130">
        <v>1564566.8</v>
      </c>
      <c r="Q91" s="130">
        <v>0</v>
      </c>
      <c r="R91" s="130">
        <v>0</v>
      </c>
      <c r="S91" s="130">
        <f t="shared" si="3"/>
        <v>1564566.8</v>
      </c>
      <c r="T91" s="130">
        <f t="shared" si="4"/>
        <v>499.79772553028369</v>
      </c>
      <c r="U91" s="130">
        <v>1081.8155582750371</v>
      </c>
    </row>
    <row r="92" spans="1:21" s="64" customFormat="1" ht="36" customHeight="1" x14ac:dyDescent="0.9">
      <c r="A92" s="64">
        <v>1</v>
      </c>
      <c r="B92" s="96">
        <f>SUBTOTAL(103,$A$16:A92)</f>
        <v>77</v>
      </c>
      <c r="C92" s="94" t="s">
        <v>1182</v>
      </c>
      <c r="D92" s="138">
        <v>1991</v>
      </c>
      <c r="E92" s="138"/>
      <c r="F92" s="167" t="s">
        <v>273</v>
      </c>
      <c r="G92" s="138">
        <v>10</v>
      </c>
      <c r="H92" s="138">
        <v>2</v>
      </c>
      <c r="I92" s="130">
        <v>5646.2</v>
      </c>
      <c r="J92" s="130">
        <v>4982.1000000000004</v>
      </c>
      <c r="K92" s="130">
        <v>4319</v>
      </c>
      <c r="L92" s="139">
        <v>264</v>
      </c>
      <c r="M92" s="138" t="s">
        <v>271</v>
      </c>
      <c r="N92" s="138" t="s">
        <v>275</v>
      </c>
      <c r="O92" s="136" t="s">
        <v>357</v>
      </c>
      <c r="P92" s="130">
        <v>3053913.67</v>
      </c>
      <c r="Q92" s="130">
        <v>0</v>
      </c>
      <c r="R92" s="130">
        <v>0</v>
      </c>
      <c r="S92" s="130">
        <f t="shared" si="3"/>
        <v>3053913.67</v>
      </c>
      <c r="T92" s="130">
        <f t="shared" si="4"/>
        <v>540.87947114873725</v>
      </c>
      <c r="U92" s="130">
        <v>2927.9364463013021</v>
      </c>
    </row>
    <row r="93" spans="1:21" s="64" customFormat="1" ht="36" customHeight="1" x14ac:dyDescent="0.9">
      <c r="A93" s="64">
        <v>1</v>
      </c>
      <c r="B93" s="96">
        <f>SUBTOTAL(103,$A$16:A93)</f>
        <v>78</v>
      </c>
      <c r="C93" s="94" t="s">
        <v>1183</v>
      </c>
      <c r="D93" s="138">
        <v>1984</v>
      </c>
      <c r="E93" s="138"/>
      <c r="F93" s="167" t="s">
        <v>319</v>
      </c>
      <c r="G93" s="138">
        <v>16</v>
      </c>
      <c r="H93" s="138">
        <v>1</v>
      </c>
      <c r="I93" s="130">
        <v>5474.9</v>
      </c>
      <c r="J93" s="130">
        <v>4635.7</v>
      </c>
      <c r="K93" s="130">
        <v>4362.7</v>
      </c>
      <c r="L93" s="139">
        <v>218</v>
      </c>
      <c r="M93" s="138" t="s">
        <v>271</v>
      </c>
      <c r="N93" s="138" t="s">
        <v>275</v>
      </c>
      <c r="O93" s="136" t="s">
        <v>357</v>
      </c>
      <c r="P93" s="130">
        <v>4090124.09</v>
      </c>
      <c r="Q93" s="130">
        <v>0</v>
      </c>
      <c r="R93" s="130">
        <v>0</v>
      </c>
      <c r="S93" s="130">
        <f t="shared" si="3"/>
        <v>4090124.09</v>
      </c>
      <c r="T93" s="130">
        <f t="shared" si="4"/>
        <v>747.06827339312133</v>
      </c>
      <c r="U93" s="130">
        <f t="shared" ref="U93:U94" si="6">T93</f>
        <v>747.06827339312133</v>
      </c>
    </row>
    <row r="94" spans="1:21" s="64" customFormat="1" ht="36" customHeight="1" x14ac:dyDescent="0.9">
      <c r="A94" s="64">
        <v>1</v>
      </c>
      <c r="B94" s="96">
        <f>SUBTOTAL(103,$A$16:A94)</f>
        <v>79</v>
      </c>
      <c r="C94" s="94" t="s">
        <v>1184</v>
      </c>
      <c r="D94" s="138">
        <v>1950</v>
      </c>
      <c r="E94" s="138"/>
      <c r="F94" s="167" t="s">
        <v>273</v>
      </c>
      <c r="G94" s="138">
        <v>2</v>
      </c>
      <c r="H94" s="138">
        <v>2</v>
      </c>
      <c r="I94" s="130">
        <v>813.8</v>
      </c>
      <c r="J94" s="130">
        <v>739.3</v>
      </c>
      <c r="K94" s="130">
        <v>696.4</v>
      </c>
      <c r="L94" s="139">
        <v>39</v>
      </c>
      <c r="M94" s="138" t="s">
        <v>271</v>
      </c>
      <c r="N94" s="138" t="s">
        <v>275</v>
      </c>
      <c r="O94" s="136" t="s">
        <v>1038</v>
      </c>
      <c r="P94" s="130">
        <v>1338055.4100000001</v>
      </c>
      <c r="Q94" s="130">
        <v>0</v>
      </c>
      <c r="R94" s="130">
        <v>0</v>
      </c>
      <c r="S94" s="130">
        <f t="shared" si="3"/>
        <v>1338055.4100000001</v>
      </c>
      <c r="T94" s="130">
        <f t="shared" si="4"/>
        <v>1644.2066969771445</v>
      </c>
      <c r="U94" s="130">
        <f t="shared" si="6"/>
        <v>1644.2066969771445</v>
      </c>
    </row>
    <row r="95" spans="1:21" s="64" customFormat="1" ht="36" customHeight="1" x14ac:dyDescent="0.9">
      <c r="A95" s="64">
        <v>1</v>
      </c>
      <c r="B95" s="96">
        <f>SUBTOTAL(103,$A$16:A95)</f>
        <v>80</v>
      </c>
      <c r="C95" s="94" t="s">
        <v>1185</v>
      </c>
      <c r="D95" s="138">
        <v>1958</v>
      </c>
      <c r="E95" s="138"/>
      <c r="F95" s="167" t="s">
        <v>273</v>
      </c>
      <c r="G95" s="138">
        <v>2</v>
      </c>
      <c r="H95" s="138">
        <v>2</v>
      </c>
      <c r="I95" s="130">
        <v>515.4</v>
      </c>
      <c r="J95" s="130">
        <v>454.3</v>
      </c>
      <c r="K95" s="130">
        <v>339.6</v>
      </c>
      <c r="L95" s="139">
        <v>21</v>
      </c>
      <c r="M95" s="138" t="s">
        <v>271</v>
      </c>
      <c r="N95" s="138" t="s">
        <v>275</v>
      </c>
      <c r="O95" s="136" t="s">
        <v>1392</v>
      </c>
      <c r="P95" s="130">
        <v>221655.15999999997</v>
      </c>
      <c r="Q95" s="130">
        <v>0</v>
      </c>
      <c r="R95" s="130">
        <v>0</v>
      </c>
      <c r="S95" s="130">
        <f t="shared" si="3"/>
        <v>221655.15999999997</v>
      </c>
      <c r="T95" s="130">
        <f t="shared" si="4"/>
        <v>430.06433837795885</v>
      </c>
      <c r="U95" s="130">
        <v>2035.6565644262903</v>
      </c>
    </row>
    <row r="96" spans="1:21" s="64" customFormat="1" ht="36" customHeight="1" x14ac:dyDescent="0.9">
      <c r="A96" s="64">
        <v>1</v>
      </c>
      <c r="B96" s="96">
        <f>SUBTOTAL(103,$A$16:A96)</f>
        <v>81</v>
      </c>
      <c r="C96" s="94" t="s">
        <v>1186</v>
      </c>
      <c r="D96" s="138">
        <v>1932</v>
      </c>
      <c r="E96" s="138"/>
      <c r="F96" s="167" t="s">
        <v>273</v>
      </c>
      <c r="G96" s="138">
        <v>4</v>
      </c>
      <c r="H96" s="138">
        <v>3</v>
      </c>
      <c r="I96" s="130">
        <v>2131.17</v>
      </c>
      <c r="J96" s="130">
        <v>1905.67</v>
      </c>
      <c r="K96" s="130">
        <v>1212.8</v>
      </c>
      <c r="L96" s="139">
        <v>77</v>
      </c>
      <c r="M96" s="138" t="s">
        <v>271</v>
      </c>
      <c r="N96" s="138" t="s">
        <v>275</v>
      </c>
      <c r="O96" s="136" t="s">
        <v>358</v>
      </c>
      <c r="P96" s="130">
        <v>424166.91999999993</v>
      </c>
      <c r="Q96" s="130">
        <v>0</v>
      </c>
      <c r="R96" s="130">
        <v>0</v>
      </c>
      <c r="S96" s="130">
        <f t="shared" si="3"/>
        <v>424166.91999999993</v>
      </c>
      <c r="T96" s="130">
        <f t="shared" si="4"/>
        <v>199.03007268308014</v>
      </c>
      <c r="U96" s="130">
        <v>3234.9878786764702</v>
      </c>
    </row>
    <row r="97" spans="1:21" s="64" customFormat="1" ht="36" customHeight="1" x14ac:dyDescent="0.9">
      <c r="A97" s="64">
        <v>1</v>
      </c>
      <c r="B97" s="96">
        <f>SUBTOTAL(103,$A$16:A97)</f>
        <v>82</v>
      </c>
      <c r="C97" s="94" t="s">
        <v>1187</v>
      </c>
      <c r="D97" s="138" t="s">
        <v>379</v>
      </c>
      <c r="E97" s="138"/>
      <c r="F97" s="167" t="s">
        <v>273</v>
      </c>
      <c r="G97" s="138" t="s">
        <v>316</v>
      </c>
      <c r="H97" s="138" t="s">
        <v>311</v>
      </c>
      <c r="I97" s="130">
        <v>1346.5</v>
      </c>
      <c r="J97" s="130">
        <v>1245.7</v>
      </c>
      <c r="K97" s="130">
        <v>1118.8</v>
      </c>
      <c r="L97" s="139">
        <v>62</v>
      </c>
      <c r="M97" s="138" t="s">
        <v>271</v>
      </c>
      <c r="N97" s="138" t="s">
        <v>275</v>
      </c>
      <c r="O97" s="136" t="s">
        <v>1151</v>
      </c>
      <c r="P97" s="130">
        <v>1681523.88</v>
      </c>
      <c r="Q97" s="130">
        <v>0</v>
      </c>
      <c r="R97" s="130">
        <v>0</v>
      </c>
      <c r="S97" s="130">
        <f t="shared" si="3"/>
        <v>1681523.88</v>
      </c>
      <c r="T97" s="130">
        <f t="shared" si="4"/>
        <v>1248.8109023393984</v>
      </c>
      <c r="U97" s="130">
        <v>2414.3972650110027</v>
      </c>
    </row>
    <row r="98" spans="1:21" s="64" customFormat="1" ht="36" customHeight="1" x14ac:dyDescent="0.9">
      <c r="A98" s="64">
        <v>1</v>
      </c>
      <c r="B98" s="96">
        <f>SUBTOTAL(103,$A$16:A98)</f>
        <v>83</v>
      </c>
      <c r="C98" s="94" t="s">
        <v>1188</v>
      </c>
      <c r="D98" s="138">
        <v>1960</v>
      </c>
      <c r="E98" s="138"/>
      <c r="F98" s="167" t="s">
        <v>273</v>
      </c>
      <c r="G98" s="138">
        <v>3</v>
      </c>
      <c r="H98" s="138">
        <v>2</v>
      </c>
      <c r="I98" s="130">
        <v>979.2</v>
      </c>
      <c r="J98" s="130">
        <v>969.7</v>
      </c>
      <c r="K98" s="130">
        <v>929.8</v>
      </c>
      <c r="L98" s="139">
        <v>31</v>
      </c>
      <c r="M98" s="138" t="s">
        <v>271</v>
      </c>
      <c r="N98" s="138" t="s">
        <v>275</v>
      </c>
      <c r="O98" s="136" t="s">
        <v>1393</v>
      </c>
      <c r="P98" s="130">
        <v>1772415.75</v>
      </c>
      <c r="Q98" s="130">
        <v>0</v>
      </c>
      <c r="R98" s="130">
        <v>0</v>
      </c>
      <c r="S98" s="130">
        <f t="shared" si="3"/>
        <v>1772415.75</v>
      </c>
      <c r="T98" s="130">
        <f t="shared" si="4"/>
        <v>1810.0651041666665</v>
      </c>
      <c r="U98" s="130">
        <v>2095.0183195941663</v>
      </c>
    </row>
    <row r="99" spans="1:21" s="64" customFormat="1" ht="36" customHeight="1" x14ac:dyDescent="0.9">
      <c r="A99" s="64">
        <v>1</v>
      </c>
      <c r="B99" s="96">
        <f>SUBTOTAL(103,$A$16:A99)</f>
        <v>84</v>
      </c>
      <c r="C99" s="94" t="s">
        <v>1189</v>
      </c>
      <c r="D99" s="138">
        <v>1991</v>
      </c>
      <c r="E99" s="138">
        <v>2016</v>
      </c>
      <c r="F99" s="167" t="s">
        <v>1396</v>
      </c>
      <c r="G99" s="138">
        <v>13</v>
      </c>
      <c r="H99" s="138">
        <v>1</v>
      </c>
      <c r="I99" s="130">
        <v>4135.3</v>
      </c>
      <c r="J99" s="130">
        <v>3928.9</v>
      </c>
      <c r="K99" s="130">
        <v>3680.79</v>
      </c>
      <c r="L99" s="139">
        <v>225</v>
      </c>
      <c r="M99" s="138" t="s">
        <v>271</v>
      </c>
      <c r="N99" s="138" t="s">
        <v>275</v>
      </c>
      <c r="O99" s="136" t="s">
        <v>357</v>
      </c>
      <c r="P99" s="130">
        <v>3695414.32</v>
      </c>
      <c r="Q99" s="130">
        <v>0</v>
      </c>
      <c r="R99" s="130">
        <v>0</v>
      </c>
      <c r="S99" s="130">
        <f t="shared" si="3"/>
        <v>3695414.32</v>
      </c>
      <c r="T99" s="130">
        <f t="shared" si="4"/>
        <v>893.62665828355853</v>
      </c>
      <c r="U99" s="130">
        <v>4769.8000391761807</v>
      </c>
    </row>
    <row r="100" spans="1:21" s="64" customFormat="1" ht="36" customHeight="1" x14ac:dyDescent="0.9">
      <c r="A100" s="64">
        <v>1</v>
      </c>
      <c r="B100" s="96">
        <f>SUBTOTAL(103,$A$16:A100)</f>
        <v>85</v>
      </c>
      <c r="C100" s="94" t="s">
        <v>1190</v>
      </c>
      <c r="D100" s="138">
        <v>1962</v>
      </c>
      <c r="E100" s="138"/>
      <c r="F100" s="167" t="s">
        <v>273</v>
      </c>
      <c r="G100" s="138">
        <v>5</v>
      </c>
      <c r="H100" s="138">
        <v>4</v>
      </c>
      <c r="I100" s="130">
        <v>3154</v>
      </c>
      <c r="J100" s="130">
        <v>3012.3</v>
      </c>
      <c r="K100" s="130">
        <v>2941.4</v>
      </c>
      <c r="L100" s="139">
        <v>175</v>
      </c>
      <c r="M100" s="138" t="s">
        <v>271</v>
      </c>
      <c r="N100" s="138" t="s">
        <v>275</v>
      </c>
      <c r="O100" s="136" t="s">
        <v>358</v>
      </c>
      <c r="P100" s="130">
        <v>3246745.9499999997</v>
      </c>
      <c r="Q100" s="130">
        <v>0</v>
      </c>
      <c r="R100" s="130">
        <v>0</v>
      </c>
      <c r="S100" s="130">
        <f t="shared" si="3"/>
        <v>3246745.9499999997</v>
      </c>
      <c r="T100" s="130">
        <f t="shared" si="4"/>
        <v>1029.4058180088775</v>
      </c>
      <c r="U100" s="130">
        <v>2480.5066256494392</v>
      </c>
    </row>
    <row r="101" spans="1:21" s="64" customFormat="1" ht="36" customHeight="1" x14ac:dyDescent="0.9">
      <c r="A101" s="64">
        <v>1</v>
      </c>
      <c r="B101" s="96">
        <f>SUBTOTAL(103,$A$16:A101)</f>
        <v>86</v>
      </c>
      <c r="C101" s="94" t="s">
        <v>1191</v>
      </c>
      <c r="D101" s="138">
        <v>1962</v>
      </c>
      <c r="E101" s="138"/>
      <c r="F101" s="167" t="s">
        <v>273</v>
      </c>
      <c r="G101" s="138">
        <v>4</v>
      </c>
      <c r="H101" s="138">
        <v>3</v>
      </c>
      <c r="I101" s="130">
        <v>2680.2</v>
      </c>
      <c r="J101" s="130">
        <v>1990.4</v>
      </c>
      <c r="K101" s="130">
        <v>1918.2</v>
      </c>
      <c r="L101" s="139">
        <v>88</v>
      </c>
      <c r="M101" s="138" t="s">
        <v>271</v>
      </c>
      <c r="N101" s="138" t="s">
        <v>275</v>
      </c>
      <c r="O101" s="136" t="s">
        <v>1151</v>
      </c>
      <c r="P101" s="130">
        <v>3669425.82</v>
      </c>
      <c r="Q101" s="130">
        <v>0</v>
      </c>
      <c r="R101" s="130">
        <v>0</v>
      </c>
      <c r="S101" s="130">
        <f t="shared" si="3"/>
        <v>3669425.82</v>
      </c>
      <c r="T101" s="130">
        <f t="shared" si="4"/>
        <v>1369.0865681665548</v>
      </c>
      <c r="U101" s="130">
        <v>6277.3398511134537</v>
      </c>
    </row>
    <row r="102" spans="1:21" s="64" customFormat="1" ht="36" customHeight="1" x14ac:dyDescent="0.9">
      <c r="A102" s="64">
        <v>1</v>
      </c>
      <c r="B102" s="96">
        <f>SUBTOTAL(103,$A$16:A102)</f>
        <v>87</v>
      </c>
      <c r="C102" s="94" t="s">
        <v>1192</v>
      </c>
      <c r="D102" s="138">
        <v>1946</v>
      </c>
      <c r="E102" s="138"/>
      <c r="F102" s="167" t="s">
        <v>273</v>
      </c>
      <c r="G102" s="138">
        <v>3</v>
      </c>
      <c r="H102" s="138">
        <v>3</v>
      </c>
      <c r="I102" s="130">
        <v>2194.1999999999998</v>
      </c>
      <c r="J102" s="130">
        <v>1984.8</v>
      </c>
      <c r="K102" s="130">
        <v>1584.8</v>
      </c>
      <c r="L102" s="139">
        <v>31</v>
      </c>
      <c r="M102" s="138" t="s">
        <v>271</v>
      </c>
      <c r="N102" s="138" t="s">
        <v>275</v>
      </c>
      <c r="O102" s="136" t="s">
        <v>1397</v>
      </c>
      <c r="P102" s="130">
        <v>3912440.41</v>
      </c>
      <c r="Q102" s="130">
        <v>0</v>
      </c>
      <c r="R102" s="130">
        <v>0</v>
      </c>
      <c r="S102" s="130">
        <f t="shared" si="3"/>
        <v>3912440.41</v>
      </c>
      <c r="T102" s="130">
        <f t="shared" si="4"/>
        <v>1783.0828593564854</v>
      </c>
      <c r="U102" s="130">
        <v>8550.0791201117318</v>
      </c>
    </row>
    <row r="103" spans="1:21" s="64" customFormat="1" ht="36" customHeight="1" x14ac:dyDescent="0.9">
      <c r="A103" s="64">
        <v>1</v>
      </c>
      <c r="B103" s="96">
        <f>SUBTOTAL(103,$A$16:A103)</f>
        <v>88</v>
      </c>
      <c r="C103" s="94" t="s">
        <v>1193</v>
      </c>
      <c r="D103" s="138">
        <v>1949</v>
      </c>
      <c r="E103" s="138"/>
      <c r="F103" s="167" t="s">
        <v>273</v>
      </c>
      <c r="G103" s="138">
        <v>2</v>
      </c>
      <c r="H103" s="138">
        <v>2</v>
      </c>
      <c r="I103" s="130">
        <v>938.97</v>
      </c>
      <c r="J103" s="130">
        <v>864.07</v>
      </c>
      <c r="K103" s="130">
        <v>649.77</v>
      </c>
      <c r="L103" s="139">
        <v>19</v>
      </c>
      <c r="M103" s="138" t="s">
        <v>271</v>
      </c>
      <c r="N103" s="138" t="s">
        <v>275</v>
      </c>
      <c r="O103" s="136" t="s">
        <v>1398</v>
      </c>
      <c r="P103" s="130">
        <v>3455727.78</v>
      </c>
      <c r="Q103" s="130">
        <v>0</v>
      </c>
      <c r="R103" s="130">
        <v>0</v>
      </c>
      <c r="S103" s="130">
        <f t="shared" si="3"/>
        <v>3455727.78</v>
      </c>
      <c r="T103" s="130">
        <f t="shared" si="4"/>
        <v>3680.3388606664748</v>
      </c>
      <c r="U103" s="130">
        <v>8285.9044606616008</v>
      </c>
    </row>
    <row r="104" spans="1:21" s="64" customFormat="1" ht="36" customHeight="1" x14ac:dyDescent="0.9">
      <c r="A104" s="64">
        <v>1</v>
      </c>
      <c r="B104" s="96">
        <f>SUBTOTAL(103,$A$16:A104)</f>
        <v>89</v>
      </c>
      <c r="C104" s="94" t="s">
        <v>1194</v>
      </c>
      <c r="D104" s="138">
        <v>1958</v>
      </c>
      <c r="E104" s="138"/>
      <c r="F104" s="167" t="s">
        <v>273</v>
      </c>
      <c r="G104" s="138">
        <v>2</v>
      </c>
      <c r="H104" s="138">
        <v>1</v>
      </c>
      <c r="I104" s="130">
        <v>429.6</v>
      </c>
      <c r="J104" s="130">
        <v>389</v>
      </c>
      <c r="K104" s="130">
        <v>344.8</v>
      </c>
      <c r="L104" s="139">
        <v>28</v>
      </c>
      <c r="M104" s="138" t="s">
        <v>271</v>
      </c>
      <c r="N104" s="138" t="s">
        <v>275</v>
      </c>
      <c r="O104" s="136" t="s">
        <v>358</v>
      </c>
      <c r="P104" s="130">
        <v>1962348.35</v>
      </c>
      <c r="Q104" s="130">
        <v>0</v>
      </c>
      <c r="R104" s="130">
        <v>0</v>
      </c>
      <c r="S104" s="130">
        <f t="shared" si="3"/>
        <v>1962348.35</v>
      </c>
      <c r="T104" s="130">
        <f t="shared" si="4"/>
        <v>4567.8499767225321</v>
      </c>
      <c r="U104" s="130">
        <v>5228.825571797076</v>
      </c>
    </row>
    <row r="105" spans="1:21" s="64" customFormat="1" ht="36" customHeight="1" x14ac:dyDescent="0.9">
      <c r="A105" s="64">
        <v>1</v>
      </c>
      <c r="B105" s="96">
        <f>SUBTOTAL(103,$A$16:A105)</f>
        <v>90</v>
      </c>
      <c r="C105" s="94" t="s">
        <v>1195</v>
      </c>
      <c r="D105" s="138">
        <v>1958</v>
      </c>
      <c r="E105" s="138"/>
      <c r="F105" s="167" t="s">
        <v>273</v>
      </c>
      <c r="G105" s="138">
        <v>2</v>
      </c>
      <c r="H105" s="138">
        <v>1</v>
      </c>
      <c r="I105" s="130">
        <v>447.4</v>
      </c>
      <c r="J105" s="130">
        <v>385</v>
      </c>
      <c r="K105" s="130">
        <v>341.3</v>
      </c>
      <c r="L105" s="139">
        <v>24</v>
      </c>
      <c r="M105" s="138" t="s">
        <v>271</v>
      </c>
      <c r="N105" s="138" t="s">
        <v>275</v>
      </c>
      <c r="O105" s="136" t="s">
        <v>358</v>
      </c>
      <c r="P105" s="130">
        <v>2187554.12</v>
      </c>
      <c r="Q105" s="130">
        <v>0</v>
      </c>
      <c r="R105" s="130">
        <v>0</v>
      </c>
      <c r="S105" s="130">
        <f t="shared" si="3"/>
        <v>2187554.12</v>
      </c>
      <c r="T105" s="130">
        <f t="shared" si="4"/>
        <v>4889.4817165847126</v>
      </c>
      <c r="U105" s="130">
        <f>T105</f>
        <v>4889.4817165847126</v>
      </c>
    </row>
    <row r="106" spans="1:21" s="64" customFormat="1" ht="36" customHeight="1" x14ac:dyDescent="0.9">
      <c r="A106" s="64">
        <v>1</v>
      </c>
      <c r="B106" s="96">
        <f>SUBTOTAL(103,$A$16:A106)</f>
        <v>91</v>
      </c>
      <c r="C106" s="94" t="s">
        <v>1196</v>
      </c>
      <c r="D106" s="138">
        <v>1963</v>
      </c>
      <c r="E106" s="138"/>
      <c r="F106" s="167" t="s">
        <v>273</v>
      </c>
      <c r="G106" s="138">
        <v>5</v>
      </c>
      <c r="H106" s="138">
        <v>2</v>
      </c>
      <c r="I106" s="130">
        <v>2093.4</v>
      </c>
      <c r="J106" s="130">
        <v>1625</v>
      </c>
      <c r="K106" s="130">
        <v>1469.4</v>
      </c>
      <c r="L106" s="139">
        <v>81</v>
      </c>
      <c r="M106" s="138" t="s">
        <v>271</v>
      </c>
      <c r="N106" s="138" t="s">
        <v>275</v>
      </c>
      <c r="O106" s="136" t="s">
        <v>1151</v>
      </c>
      <c r="P106" s="130">
        <v>3257277.38</v>
      </c>
      <c r="Q106" s="130">
        <v>0</v>
      </c>
      <c r="R106" s="130">
        <v>0</v>
      </c>
      <c r="S106" s="130">
        <f t="shared" si="3"/>
        <v>3257277.38</v>
      </c>
      <c r="T106" s="130">
        <f t="shared" si="4"/>
        <v>1555.9746727811214</v>
      </c>
      <c r="U106" s="130">
        <v>9433.0975030303034</v>
      </c>
    </row>
    <row r="107" spans="1:21" s="64" customFormat="1" ht="36" customHeight="1" x14ac:dyDescent="0.9">
      <c r="A107" s="64">
        <v>1</v>
      </c>
      <c r="B107" s="96">
        <f>SUBTOTAL(103,$A$16:A107)</f>
        <v>92</v>
      </c>
      <c r="C107" s="94" t="s">
        <v>1197</v>
      </c>
      <c r="D107" s="138">
        <v>1958</v>
      </c>
      <c r="E107" s="138"/>
      <c r="F107" s="167" t="s">
        <v>273</v>
      </c>
      <c r="G107" s="138">
        <v>3</v>
      </c>
      <c r="H107" s="138">
        <v>2</v>
      </c>
      <c r="I107" s="130">
        <v>1085.8</v>
      </c>
      <c r="J107" s="130">
        <v>994.9</v>
      </c>
      <c r="K107" s="130">
        <v>922</v>
      </c>
      <c r="L107" s="139">
        <v>18</v>
      </c>
      <c r="M107" s="138" t="s">
        <v>271</v>
      </c>
      <c r="N107" s="138" t="s">
        <v>275</v>
      </c>
      <c r="O107" s="136" t="s">
        <v>1398</v>
      </c>
      <c r="P107" s="130">
        <v>2605764.88</v>
      </c>
      <c r="Q107" s="130">
        <v>0</v>
      </c>
      <c r="R107" s="130">
        <v>0</v>
      </c>
      <c r="S107" s="130">
        <f t="shared" si="3"/>
        <v>2605764.88</v>
      </c>
      <c r="T107" s="130">
        <f t="shared" si="4"/>
        <v>2399.8571375944002</v>
      </c>
      <c r="U107" s="130">
        <f t="shared" ref="U107:U108" si="7">T107</f>
        <v>2399.8571375944002</v>
      </c>
    </row>
    <row r="108" spans="1:21" s="64" customFormat="1" ht="36" customHeight="1" x14ac:dyDescent="0.9">
      <c r="A108" s="64">
        <v>1</v>
      </c>
      <c r="B108" s="96">
        <f>SUBTOTAL(103,$A$16:A108)</f>
        <v>93</v>
      </c>
      <c r="C108" s="94" t="s">
        <v>1198</v>
      </c>
      <c r="D108" s="138">
        <v>1959</v>
      </c>
      <c r="E108" s="138"/>
      <c r="F108" s="167" t="s">
        <v>273</v>
      </c>
      <c r="G108" s="138">
        <v>2</v>
      </c>
      <c r="H108" s="138">
        <v>1</v>
      </c>
      <c r="I108" s="130">
        <v>495</v>
      </c>
      <c r="J108" s="130">
        <v>308.10000000000002</v>
      </c>
      <c r="K108" s="130">
        <v>308.10000000000002</v>
      </c>
      <c r="L108" s="139">
        <v>19</v>
      </c>
      <c r="M108" s="138" t="s">
        <v>271</v>
      </c>
      <c r="N108" s="138" t="s">
        <v>275</v>
      </c>
      <c r="O108" s="136" t="s">
        <v>1043</v>
      </c>
      <c r="P108" s="130">
        <v>2358734.42</v>
      </c>
      <c r="Q108" s="130">
        <v>0</v>
      </c>
      <c r="R108" s="130">
        <v>0</v>
      </c>
      <c r="S108" s="130">
        <f t="shared" si="3"/>
        <v>2358734.42</v>
      </c>
      <c r="T108" s="130">
        <f t="shared" si="4"/>
        <v>4765.1200404040401</v>
      </c>
      <c r="U108" s="130">
        <f t="shared" si="7"/>
        <v>4765.1200404040401</v>
      </c>
    </row>
    <row r="109" spans="1:21" s="64" customFormat="1" ht="36" customHeight="1" x14ac:dyDescent="0.9">
      <c r="A109" s="64">
        <v>1</v>
      </c>
      <c r="B109" s="96">
        <f>SUBTOTAL(103,$A$16:A109)</f>
        <v>94</v>
      </c>
      <c r="C109" s="94" t="s">
        <v>1199</v>
      </c>
      <c r="D109" s="138">
        <v>1968</v>
      </c>
      <c r="E109" s="138"/>
      <c r="F109" s="167" t="s">
        <v>273</v>
      </c>
      <c r="G109" s="138">
        <v>5</v>
      </c>
      <c r="H109" s="138">
        <v>4</v>
      </c>
      <c r="I109" s="130">
        <v>3196.3</v>
      </c>
      <c r="J109" s="130">
        <v>3132.7</v>
      </c>
      <c r="K109" s="130">
        <v>3132.7</v>
      </c>
      <c r="L109" s="139">
        <v>173</v>
      </c>
      <c r="M109" s="138" t="s">
        <v>271</v>
      </c>
      <c r="N109" s="138" t="s">
        <v>275</v>
      </c>
      <c r="O109" s="136" t="s">
        <v>1393</v>
      </c>
      <c r="P109" s="130">
        <v>1057247.3700000001</v>
      </c>
      <c r="Q109" s="130">
        <v>0</v>
      </c>
      <c r="R109" s="130">
        <v>0</v>
      </c>
      <c r="S109" s="130">
        <f t="shared" si="3"/>
        <v>1057247.3700000001</v>
      </c>
      <c r="T109" s="130">
        <f t="shared" si="4"/>
        <v>330.77225854894726</v>
      </c>
      <c r="U109" s="130">
        <v>5228.5579563902593</v>
      </c>
    </row>
    <row r="110" spans="1:21" s="64" customFormat="1" ht="36" customHeight="1" x14ac:dyDescent="0.9">
      <c r="A110" s="64">
        <v>1</v>
      </c>
      <c r="B110" s="96">
        <f>SUBTOTAL(103,$A$16:A110)</f>
        <v>95</v>
      </c>
      <c r="C110" s="94" t="s">
        <v>1200</v>
      </c>
      <c r="D110" s="138">
        <v>1974</v>
      </c>
      <c r="E110" s="138"/>
      <c r="F110" s="167" t="s">
        <v>319</v>
      </c>
      <c r="G110" s="138">
        <v>5</v>
      </c>
      <c r="H110" s="138">
        <v>6</v>
      </c>
      <c r="I110" s="130">
        <v>6075</v>
      </c>
      <c r="J110" s="130">
        <v>4574.1000000000004</v>
      </c>
      <c r="K110" s="130">
        <v>4324.3999999999996</v>
      </c>
      <c r="L110" s="139">
        <v>225</v>
      </c>
      <c r="M110" s="138" t="s">
        <v>271</v>
      </c>
      <c r="N110" s="138" t="s">
        <v>275</v>
      </c>
      <c r="O110" s="136" t="s">
        <v>1399</v>
      </c>
      <c r="P110" s="130">
        <v>5231607.8099999996</v>
      </c>
      <c r="Q110" s="130">
        <v>0</v>
      </c>
      <c r="R110" s="130">
        <v>0</v>
      </c>
      <c r="S110" s="130">
        <f t="shared" si="3"/>
        <v>5231607.8099999996</v>
      </c>
      <c r="T110" s="130">
        <f t="shared" si="4"/>
        <v>861.17000987654319</v>
      </c>
      <c r="U110" s="130">
        <v>6524.2306069457964</v>
      </c>
    </row>
    <row r="111" spans="1:21" s="64" customFormat="1" ht="36" customHeight="1" x14ac:dyDescent="0.9">
      <c r="A111" s="64">
        <v>1</v>
      </c>
      <c r="B111" s="96">
        <f>SUBTOTAL(103,$A$16:A111)</f>
        <v>96</v>
      </c>
      <c r="C111" s="94" t="s">
        <v>1201</v>
      </c>
      <c r="D111" s="138">
        <v>1962</v>
      </c>
      <c r="E111" s="138"/>
      <c r="F111" s="167" t="s">
        <v>273</v>
      </c>
      <c r="G111" s="138">
        <v>2</v>
      </c>
      <c r="H111" s="138">
        <v>2</v>
      </c>
      <c r="I111" s="130">
        <v>628.29999999999995</v>
      </c>
      <c r="J111" s="130">
        <v>414.2</v>
      </c>
      <c r="K111" s="130">
        <v>414.2</v>
      </c>
      <c r="L111" s="139">
        <v>40</v>
      </c>
      <c r="M111" s="138" t="s">
        <v>271</v>
      </c>
      <c r="N111" s="138" t="s">
        <v>272</v>
      </c>
      <c r="O111" s="136" t="s">
        <v>1400</v>
      </c>
      <c r="P111" s="130">
        <v>2273804.56</v>
      </c>
      <c r="Q111" s="130">
        <v>0</v>
      </c>
      <c r="R111" s="130">
        <v>0</v>
      </c>
      <c r="S111" s="130">
        <f t="shared" si="3"/>
        <v>2273804.56</v>
      </c>
      <c r="T111" s="130">
        <f t="shared" si="4"/>
        <v>3618.9790864236834</v>
      </c>
      <c r="U111" s="130">
        <v>7403.9334846368711</v>
      </c>
    </row>
    <row r="112" spans="1:21" s="64" customFormat="1" ht="36" customHeight="1" x14ac:dyDescent="0.9">
      <c r="A112" s="64">
        <v>1</v>
      </c>
      <c r="B112" s="96">
        <f>SUBTOTAL(103,$A$16:A112)</f>
        <v>97</v>
      </c>
      <c r="C112" s="94" t="s">
        <v>1202</v>
      </c>
      <c r="D112" s="138">
        <v>1964</v>
      </c>
      <c r="E112" s="138"/>
      <c r="F112" s="167" t="s">
        <v>273</v>
      </c>
      <c r="G112" s="138">
        <v>2</v>
      </c>
      <c r="H112" s="138">
        <v>2</v>
      </c>
      <c r="I112" s="130">
        <v>616.20000000000005</v>
      </c>
      <c r="J112" s="130">
        <v>614</v>
      </c>
      <c r="K112" s="130">
        <v>614</v>
      </c>
      <c r="L112" s="139">
        <v>40</v>
      </c>
      <c r="M112" s="138" t="s">
        <v>271</v>
      </c>
      <c r="N112" s="138" t="s">
        <v>275</v>
      </c>
      <c r="O112" s="136" t="s">
        <v>1400</v>
      </c>
      <c r="P112" s="130">
        <v>2765824.94</v>
      </c>
      <c r="Q112" s="130">
        <v>0</v>
      </c>
      <c r="R112" s="130">
        <v>0</v>
      </c>
      <c r="S112" s="130">
        <f t="shared" si="3"/>
        <v>2765824.94</v>
      </c>
      <c r="T112" s="130">
        <f t="shared" si="4"/>
        <v>4488.5182408308983</v>
      </c>
      <c r="U112" s="130">
        <v>6131.52277792518</v>
      </c>
    </row>
    <row r="113" spans="1:21" s="64" customFormat="1" ht="36" customHeight="1" x14ac:dyDescent="0.9">
      <c r="A113" s="64">
        <v>1</v>
      </c>
      <c r="B113" s="96">
        <f>SUBTOTAL(103,$A$16:A113)</f>
        <v>98</v>
      </c>
      <c r="C113" s="94" t="s">
        <v>1203</v>
      </c>
      <c r="D113" s="138">
        <v>1959</v>
      </c>
      <c r="E113" s="138"/>
      <c r="F113" s="167" t="s">
        <v>273</v>
      </c>
      <c r="G113" s="138">
        <v>2</v>
      </c>
      <c r="H113" s="138">
        <v>2</v>
      </c>
      <c r="I113" s="130">
        <v>572.79999999999995</v>
      </c>
      <c r="J113" s="130">
        <v>339.4</v>
      </c>
      <c r="K113" s="130">
        <v>339.4</v>
      </c>
      <c r="L113" s="139">
        <v>20</v>
      </c>
      <c r="M113" s="138" t="s">
        <v>271</v>
      </c>
      <c r="N113" s="138" t="s">
        <v>275</v>
      </c>
      <c r="O113" s="136" t="s">
        <v>1401</v>
      </c>
      <c r="P113" s="130">
        <v>2333046.9300000002</v>
      </c>
      <c r="Q113" s="130">
        <v>0</v>
      </c>
      <c r="R113" s="130">
        <v>0</v>
      </c>
      <c r="S113" s="130">
        <f t="shared" si="3"/>
        <v>2333046.9300000002</v>
      </c>
      <c r="T113" s="130">
        <f t="shared" si="4"/>
        <v>4073.0567912011179</v>
      </c>
      <c r="U113" s="130">
        <f t="shared" ref="U113:U115" si="8">T113</f>
        <v>4073.0567912011179</v>
      </c>
    </row>
    <row r="114" spans="1:21" s="64" customFormat="1" ht="36" customHeight="1" x14ac:dyDescent="0.9">
      <c r="A114" s="64">
        <v>1</v>
      </c>
      <c r="B114" s="96">
        <f>SUBTOTAL(103,$A$16:A114)</f>
        <v>99</v>
      </c>
      <c r="C114" s="94" t="s">
        <v>1204</v>
      </c>
      <c r="D114" s="138">
        <v>1955</v>
      </c>
      <c r="E114" s="138"/>
      <c r="F114" s="167" t="s">
        <v>273</v>
      </c>
      <c r="G114" s="138">
        <v>2</v>
      </c>
      <c r="H114" s="138">
        <v>1</v>
      </c>
      <c r="I114" s="130">
        <v>527.66</v>
      </c>
      <c r="J114" s="130">
        <v>427.66</v>
      </c>
      <c r="K114" s="130">
        <v>357.76</v>
      </c>
      <c r="L114" s="139">
        <v>20</v>
      </c>
      <c r="M114" s="138" t="s">
        <v>271</v>
      </c>
      <c r="N114" s="138" t="s">
        <v>275</v>
      </c>
      <c r="O114" s="136" t="s">
        <v>1399</v>
      </c>
      <c r="P114" s="130">
        <v>2030984.36</v>
      </c>
      <c r="Q114" s="130">
        <v>0</v>
      </c>
      <c r="R114" s="130">
        <v>0</v>
      </c>
      <c r="S114" s="130">
        <f t="shared" si="3"/>
        <v>2030984.36</v>
      </c>
      <c r="T114" s="130">
        <f t="shared" si="4"/>
        <v>3849.0398362581968</v>
      </c>
      <c r="U114" s="130">
        <f t="shared" si="8"/>
        <v>3849.0398362581968</v>
      </c>
    </row>
    <row r="115" spans="1:21" s="64" customFormat="1" ht="36" customHeight="1" x14ac:dyDescent="0.9">
      <c r="A115" s="64">
        <v>1</v>
      </c>
      <c r="B115" s="96">
        <f>SUBTOTAL(103,$A$16:A115)</f>
        <v>100</v>
      </c>
      <c r="C115" s="94" t="s">
        <v>1643</v>
      </c>
      <c r="D115" s="122">
        <v>1949</v>
      </c>
      <c r="E115" s="122"/>
      <c r="F115" s="168" t="s">
        <v>273</v>
      </c>
      <c r="G115" s="122">
        <v>2</v>
      </c>
      <c r="H115" s="122">
        <v>1</v>
      </c>
      <c r="I115" s="124">
        <v>559.9</v>
      </c>
      <c r="J115" s="124">
        <v>519.9</v>
      </c>
      <c r="K115" s="124">
        <v>519.9</v>
      </c>
      <c r="L115" s="125">
        <v>22</v>
      </c>
      <c r="M115" s="122" t="s">
        <v>271</v>
      </c>
      <c r="N115" s="122" t="s">
        <v>275</v>
      </c>
      <c r="O115" s="123" t="s">
        <v>1392</v>
      </c>
      <c r="P115" s="130">
        <v>1703365.06</v>
      </c>
      <c r="Q115" s="130">
        <v>0</v>
      </c>
      <c r="R115" s="130">
        <v>0</v>
      </c>
      <c r="S115" s="130">
        <f t="shared" ref="S115:S121" si="9">P115-R115-Q115</f>
        <v>1703365.06</v>
      </c>
      <c r="T115" s="130">
        <f t="shared" si="4"/>
        <v>3042.2665833184501</v>
      </c>
      <c r="U115" s="130">
        <f t="shared" si="8"/>
        <v>3042.2665833184501</v>
      </c>
    </row>
    <row r="116" spans="1:21" s="64" customFormat="1" ht="36" customHeight="1" x14ac:dyDescent="0.9">
      <c r="A116" s="64">
        <v>1</v>
      </c>
      <c r="B116" s="96">
        <f>SUBTOTAL(103,$A$16:A116)</f>
        <v>101</v>
      </c>
      <c r="C116" s="94" t="s">
        <v>1639</v>
      </c>
      <c r="D116" s="138">
        <v>1969</v>
      </c>
      <c r="E116" s="138"/>
      <c r="F116" s="167" t="s">
        <v>273</v>
      </c>
      <c r="G116" s="138">
        <v>5</v>
      </c>
      <c r="H116" s="138">
        <v>3</v>
      </c>
      <c r="I116" s="130">
        <v>2989.1</v>
      </c>
      <c r="J116" s="130">
        <v>2908.3</v>
      </c>
      <c r="K116" s="130">
        <v>2016</v>
      </c>
      <c r="L116" s="139">
        <v>96</v>
      </c>
      <c r="M116" s="138" t="s">
        <v>271</v>
      </c>
      <c r="N116" s="138" t="s">
        <v>275</v>
      </c>
      <c r="O116" s="136" t="s">
        <v>1397</v>
      </c>
      <c r="P116" s="130">
        <v>4228031.93</v>
      </c>
      <c r="Q116" s="130">
        <v>0</v>
      </c>
      <c r="R116" s="130">
        <v>0</v>
      </c>
      <c r="S116" s="130">
        <f t="shared" si="9"/>
        <v>4228031.93</v>
      </c>
      <c r="T116" s="130">
        <f t="shared" si="4"/>
        <v>1414.4832658659798</v>
      </c>
      <c r="U116" s="130">
        <v>1820.2515807433676</v>
      </c>
    </row>
    <row r="117" spans="1:21" s="64" customFormat="1" ht="36" customHeight="1" x14ac:dyDescent="0.9">
      <c r="A117" s="64">
        <v>1</v>
      </c>
      <c r="B117" s="96">
        <f>SUBTOTAL(103,$A$16:A117)</f>
        <v>102</v>
      </c>
      <c r="C117" s="94" t="s">
        <v>1642</v>
      </c>
      <c r="D117" s="122">
        <v>1938</v>
      </c>
      <c r="E117" s="122"/>
      <c r="F117" s="168" t="s">
        <v>273</v>
      </c>
      <c r="G117" s="122">
        <v>5</v>
      </c>
      <c r="H117" s="122">
        <v>4</v>
      </c>
      <c r="I117" s="124">
        <v>2281.4699999999998</v>
      </c>
      <c r="J117" s="124">
        <v>2181.4699999999998</v>
      </c>
      <c r="K117" s="124">
        <v>1868.6</v>
      </c>
      <c r="L117" s="125">
        <v>88</v>
      </c>
      <c r="M117" s="122" t="s">
        <v>271</v>
      </c>
      <c r="N117" s="122" t="s">
        <v>275</v>
      </c>
      <c r="O117" s="123" t="s">
        <v>1393</v>
      </c>
      <c r="P117" s="130">
        <v>5636811.5700000003</v>
      </c>
      <c r="Q117" s="130">
        <v>0</v>
      </c>
      <c r="R117" s="130">
        <v>0</v>
      </c>
      <c r="S117" s="130">
        <f t="shared" si="9"/>
        <v>5636811.5700000003</v>
      </c>
      <c r="T117" s="130">
        <f t="shared" si="4"/>
        <v>2470.6928296230067</v>
      </c>
      <c r="U117" s="130">
        <f>T117</f>
        <v>2470.6928296230067</v>
      </c>
    </row>
    <row r="118" spans="1:21" s="64" customFormat="1" ht="36" customHeight="1" x14ac:dyDescent="0.9">
      <c r="A118" s="64">
        <v>1</v>
      </c>
      <c r="B118" s="96">
        <f>SUBTOTAL(103,$A$16:A118)</f>
        <v>103</v>
      </c>
      <c r="C118" s="94" t="s">
        <v>1638</v>
      </c>
      <c r="D118" s="138">
        <v>1962</v>
      </c>
      <c r="E118" s="138"/>
      <c r="F118" s="167" t="s">
        <v>273</v>
      </c>
      <c r="G118" s="138">
        <v>5</v>
      </c>
      <c r="H118" s="138">
        <v>4</v>
      </c>
      <c r="I118" s="130">
        <v>3481.5</v>
      </c>
      <c r="J118" s="130">
        <v>3396.3</v>
      </c>
      <c r="K118" s="130">
        <v>3181.1</v>
      </c>
      <c r="L118" s="139">
        <v>89</v>
      </c>
      <c r="M118" s="138" t="s">
        <v>271</v>
      </c>
      <c r="N118" s="138" t="s">
        <v>275</v>
      </c>
      <c r="O118" s="136" t="s">
        <v>1397</v>
      </c>
      <c r="P118" s="130">
        <v>3757465.78</v>
      </c>
      <c r="Q118" s="130">
        <v>0</v>
      </c>
      <c r="R118" s="130">
        <v>0</v>
      </c>
      <c r="S118" s="130">
        <f t="shared" si="9"/>
        <v>3757465.78</v>
      </c>
      <c r="T118" s="130">
        <f t="shared" si="4"/>
        <v>1079.26634496625</v>
      </c>
      <c r="U118" s="130">
        <v>1640.8084464215328</v>
      </c>
    </row>
    <row r="119" spans="1:21" s="64" customFormat="1" ht="36" customHeight="1" x14ac:dyDescent="0.9">
      <c r="A119" s="64">
        <v>1</v>
      </c>
      <c r="B119" s="96">
        <f>SUBTOTAL(103,$A$16:A119)</f>
        <v>104</v>
      </c>
      <c r="C119" s="94" t="s">
        <v>1628</v>
      </c>
      <c r="D119" s="138">
        <v>1970</v>
      </c>
      <c r="E119" s="138"/>
      <c r="F119" s="167" t="s">
        <v>273</v>
      </c>
      <c r="G119" s="138">
        <v>9</v>
      </c>
      <c r="H119" s="138">
        <v>1</v>
      </c>
      <c r="I119" s="130">
        <v>1920.2</v>
      </c>
      <c r="J119" s="130">
        <v>1849.3</v>
      </c>
      <c r="K119" s="130">
        <v>1849.3</v>
      </c>
      <c r="L119" s="139">
        <v>94</v>
      </c>
      <c r="M119" s="138" t="s">
        <v>271</v>
      </c>
      <c r="N119" s="138" t="s">
        <v>275</v>
      </c>
      <c r="O119" s="136" t="s">
        <v>1393</v>
      </c>
      <c r="P119" s="130">
        <v>752864.38</v>
      </c>
      <c r="Q119" s="130">
        <v>0</v>
      </c>
      <c r="R119" s="130">
        <v>0</v>
      </c>
      <c r="S119" s="130">
        <f t="shared" si="9"/>
        <v>752864.38</v>
      </c>
      <c r="T119" s="130">
        <f t="shared" si="4"/>
        <v>392.07602333090301</v>
      </c>
      <c r="U119" s="130">
        <v>2661.2032934906006</v>
      </c>
    </row>
    <row r="120" spans="1:21" s="64" customFormat="1" ht="36" customHeight="1" x14ac:dyDescent="0.9">
      <c r="A120" s="64">
        <v>1</v>
      </c>
      <c r="B120" s="96">
        <f>SUBTOTAL(103,$A$16:A120)</f>
        <v>105</v>
      </c>
      <c r="C120" s="94" t="s">
        <v>1640</v>
      </c>
      <c r="D120" s="138">
        <v>1976</v>
      </c>
      <c r="E120" s="138"/>
      <c r="F120" s="167" t="s">
        <v>273</v>
      </c>
      <c r="G120" s="138">
        <v>5</v>
      </c>
      <c r="H120" s="138">
        <v>7</v>
      </c>
      <c r="I120" s="130">
        <v>5832</v>
      </c>
      <c r="J120" s="130">
        <v>5789.7</v>
      </c>
      <c r="K120" s="130">
        <v>5389.7</v>
      </c>
      <c r="L120" s="139">
        <v>248</v>
      </c>
      <c r="M120" s="138" t="s">
        <v>271</v>
      </c>
      <c r="N120" s="138" t="s">
        <v>275</v>
      </c>
      <c r="O120" s="136" t="s">
        <v>1398</v>
      </c>
      <c r="P120" s="130">
        <v>5103753.3499999996</v>
      </c>
      <c r="Q120" s="130">
        <v>0</v>
      </c>
      <c r="R120" s="130">
        <v>0</v>
      </c>
      <c r="S120" s="130">
        <f t="shared" si="9"/>
        <v>5103753.3499999996</v>
      </c>
      <c r="T120" s="130">
        <f t="shared" si="4"/>
        <v>875.12917524005479</v>
      </c>
      <c r="U120" s="130">
        <v>5225.9379174852656</v>
      </c>
    </row>
    <row r="121" spans="1:21" s="64" customFormat="1" ht="36" customHeight="1" x14ac:dyDescent="0.9">
      <c r="A121" s="64">
        <v>1</v>
      </c>
      <c r="B121" s="96">
        <f>SUBTOTAL(103,$A$16:A121)</f>
        <v>106</v>
      </c>
      <c r="C121" s="94" t="s">
        <v>1641</v>
      </c>
      <c r="D121" s="122">
        <v>1972</v>
      </c>
      <c r="E121" s="122"/>
      <c r="F121" s="168" t="s">
        <v>273</v>
      </c>
      <c r="G121" s="122">
        <v>5</v>
      </c>
      <c r="H121" s="122">
        <v>8</v>
      </c>
      <c r="I121" s="124">
        <v>7103.6</v>
      </c>
      <c r="J121" s="124">
        <v>6466</v>
      </c>
      <c r="K121" s="124">
        <v>5482.9</v>
      </c>
      <c r="L121" s="125">
        <v>277</v>
      </c>
      <c r="M121" s="122" t="s">
        <v>271</v>
      </c>
      <c r="N121" s="122" t="s">
        <v>275</v>
      </c>
      <c r="O121" s="123" t="s">
        <v>357</v>
      </c>
      <c r="P121" s="130">
        <v>6436486.0999999996</v>
      </c>
      <c r="Q121" s="130">
        <v>0</v>
      </c>
      <c r="R121" s="130">
        <v>0</v>
      </c>
      <c r="S121" s="130">
        <f t="shared" si="9"/>
        <v>6436486.0999999996</v>
      </c>
      <c r="T121" s="130">
        <f t="shared" si="4"/>
        <v>906.08791317078658</v>
      </c>
      <c r="U121" s="130">
        <v>1417.2575032377949</v>
      </c>
    </row>
    <row r="122" spans="1:21" s="64" customFormat="1" ht="36" customHeight="1" x14ac:dyDescent="0.9">
      <c r="A122" s="64">
        <v>1</v>
      </c>
      <c r="B122" s="96">
        <f>SUBTOTAL(103,$A$16:A122)</f>
        <v>107</v>
      </c>
      <c r="C122" s="94" t="s">
        <v>1629</v>
      </c>
      <c r="D122" s="138">
        <v>1976</v>
      </c>
      <c r="E122" s="138"/>
      <c r="F122" s="167" t="s">
        <v>273</v>
      </c>
      <c r="G122" s="138">
        <v>3</v>
      </c>
      <c r="H122" s="138">
        <v>2</v>
      </c>
      <c r="I122" s="130">
        <v>1182.5999999999999</v>
      </c>
      <c r="J122" s="130">
        <v>1084.5999999999999</v>
      </c>
      <c r="K122" s="130">
        <v>993.3</v>
      </c>
      <c r="L122" s="139">
        <v>59</v>
      </c>
      <c r="M122" s="138" t="s">
        <v>271</v>
      </c>
      <c r="N122" s="138" t="s">
        <v>275</v>
      </c>
      <c r="O122" s="136" t="s">
        <v>1392</v>
      </c>
      <c r="P122" s="130">
        <v>2093149.6</v>
      </c>
      <c r="Q122" s="130">
        <v>0</v>
      </c>
      <c r="R122" s="130">
        <v>0</v>
      </c>
      <c r="S122" s="130">
        <f t="shared" ref="S122:S128" si="10">P122-R122-Q122</f>
        <v>2093149.6</v>
      </c>
      <c r="T122" s="130">
        <f t="shared" si="4"/>
        <v>1769.9556908506681</v>
      </c>
      <c r="U122" s="130">
        <f t="shared" ref="U122:U123" si="11">T122</f>
        <v>1769.9556908506681</v>
      </c>
    </row>
    <row r="123" spans="1:21" s="64" customFormat="1" ht="36" customHeight="1" x14ac:dyDescent="0.9">
      <c r="A123" s="64">
        <v>1</v>
      </c>
      <c r="B123" s="96">
        <f>SUBTOTAL(103,$A$16:A123)</f>
        <v>108</v>
      </c>
      <c r="C123" s="94" t="s">
        <v>1684</v>
      </c>
      <c r="D123" s="138">
        <v>1959</v>
      </c>
      <c r="E123" s="138"/>
      <c r="F123" s="167" t="s">
        <v>273</v>
      </c>
      <c r="G123" s="138">
        <v>2</v>
      </c>
      <c r="H123" s="138">
        <v>2</v>
      </c>
      <c r="I123" s="130">
        <v>548.9</v>
      </c>
      <c r="J123" s="130">
        <v>548.9</v>
      </c>
      <c r="K123" s="130">
        <v>548.9</v>
      </c>
      <c r="L123" s="139">
        <v>40</v>
      </c>
      <c r="M123" s="138" t="s">
        <v>271</v>
      </c>
      <c r="N123" s="138" t="s">
        <v>275</v>
      </c>
      <c r="O123" s="136" t="s">
        <v>1460</v>
      </c>
      <c r="P123" s="130">
        <v>2383835.1199999996</v>
      </c>
      <c r="Q123" s="130">
        <v>0</v>
      </c>
      <c r="R123" s="130">
        <v>0</v>
      </c>
      <c r="S123" s="130">
        <f t="shared" si="10"/>
        <v>2383835.1199999996</v>
      </c>
      <c r="T123" s="130">
        <f t="shared" si="4"/>
        <v>4342.9315357988698</v>
      </c>
      <c r="U123" s="130">
        <f t="shared" si="11"/>
        <v>4342.9315357988698</v>
      </c>
    </row>
    <row r="124" spans="1:21" s="64" customFormat="1" ht="36" customHeight="1" x14ac:dyDescent="0.9">
      <c r="A124" s="64">
        <v>1</v>
      </c>
      <c r="B124" s="96">
        <f>SUBTOTAL(103,$A$16:A124)</f>
        <v>109</v>
      </c>
      <c r="C124" s="94" t="s">
        <v>1685</v>
      </c>
      <c r="D124" s="138">
        <v>1964</v>
      </c>
      <c r="E124" s="138"/>
      <c r="F124" s="167" t="s">
        <v>273</v>
      </c>
      <c r="G124" s="138">
        <v>5</v>
      </c>
      <c r="H124" s="138">
        <v>4</v>
      </c>
      <c r="I124" s="130">
        <v>3338.7</v>
      </c>
      <c r="J124" s="130">
        <v>3322.3</v>
      </c>
      <c r="K124" s="130">
        <v>3136.7</v>
      </c>
      <c r="L124" s="139">
        <v>205</v>
      </c>
      <c r="M124" s="138" t="s">
        <v>271</v>
      </c>
      <c r="N124" s="138" t="s">
        <v>275</v>
      </c>
      <c r="O124" s="136" t="s">
        <v>1460</v>
      </c>
      <c r="P124" s="130">
        <v>2292500.0499999998</v>
      </c>
      <c r="Q124" s="130">
        <v>0</v>
      </c>
      <c r="R124" s="130">
        <v>0</v>
      </c>
      <c r="S124" s="130">
        <f t="shared" si="10"/>
        <v>2292500.0499999998</v>
      </c>
      <c r="T124" s="130">
        <f t="shared" si="4"/>
        <v>686.64451732710336</v>
      </c>
      <c r="U124" s="130">
        <v>1808.4870159043942</v>
      </c>
    </row>
    <row r="125" spans="1:21" s="64" customFormat="1" ht="36" customHeight="1" x14ac:dyDescent="0.9">
      <c r="A125" s="64">
        <v>1</v>
      </c>
      <c r="B125" s="96">
        <f>SUBTOTAL(103,$A$16:A125)</f>
        <v>110</v>
      </c>
      <c r="C125" s="94" t="s">
        <v>1686</v>
      </c>
      <c r="D125" s="138">
        <v>1970</v>
      </c>
      <c r="E125" s="138"/>
      <c r="F125" s="167" t="s">
        <v>273</v>
      </c>
      <c r="G125" s="138">
        <v>5</v>
      </c>
      <c r="H125" s="138">
        <v>4</v>
      </c>
      <c r="I125" s="130">
        <v>3506.9</v>
      </c>
      <c r="J125" s="130">
        <v>3386.1</v>
      </c>
      <c r="K125" s="130">
        <v>3356</v>
      </c>
      <c r="L125" s="139">
        <v>175</v>
      </c>
      <c r="M125" s="138" t="s">
        <v>271</v>
      </c>
      <c r="N125" s="138" t="s">
        <v>275</v>
      </c>
      <c r="O125" s="136" t="s">
        <v>1690</v>
      </c>
      <c r="P125" s="130">
        <v>4642675.7399999993</v>
      </c>
      <c r="Q125" s="130">
        <v>0</v>
      </c>
      <c r="R125" s="130">
        <v>0</v>
      </c>
      <c r="S125" s="130">
        <f t="shared" si="10"/>
        <v>4642675.7399999993</v>
      </c>
      <c r="T125" s="130">
        <f t="shared" si="4"/>
        <v>1323.8688699421139</v>
      </c>
      <c r="U125" s="130">
        <v>1666.199264307508</v>
      </c>
    </row>
    <row r="126" spans="1:21" s="64" customFormat="1" ht="36" customHeight="1" x14ac:dyDescent="0.9">
      <c r="A126" s="64">
        <v>1</v>
      </c>
      <c r="B126" s="96">
        <f>SUBTOTAL(103,$A$16:A126)</f>
        <v>111</v>
      </c>
      <c r="C126" s="94" t="s">
        <v>1687</v>
      </c>
      <c r="D126" s="138">
        <v>1960</v>
      </c>
      <c r="E126" s="138"/>
      <c r="F126" s="167" t="s">
        <v>273</v>
      </c>
      <c r="G126" s="138">
        <v>4</v>
      </c>
      <c r="H126" s="138">
        <v>2</v>
      </c>
      <c r="I126" s="130">
        <v>1387.7</v>
      </c>
      <c r="J126" s="130">
        <v>1266.5999999999999</v>
      </c>
      <c r="K126" s="130">
        <v>1266.5999999999999</v>
      </c>
      <c r="L126" s="139">
        <v>80</v>
      </c>
      <c r="M126" s="138" t="s">
        <v>271</v>
      </c>
      <c r="N126" s="138" t="s">
        <v>275</v>
      </c>
      <c r="O126" s="136" t="s">
        <v>1460</v>
      </c>
      <c r="P126" s="130">
        <v>3552500</v>
      </c>
      <c r="Q126" s="130">
        <v>0</v>
      </c>
      <c r="R126" s="130">
        <v>0</v>
      </c>
      <c r="S126" s="130">
        <f t="shared" si="10"/>
        <v>3552500</v>
      </c>
      <c r="T126" s="130">
        <f t="shared" si="4"/>
        <v>2559.9913525978236</v>
      </c>
      <c r="U126" s="130">
        <v>5055.1277601787124</v>
      </c>
    </row>
    <row r="127" spans="1:21" s="64" customFormat="1" ht="36" customHeight="1" x14ac:dyDescent="0.9">
      <c r="A127" s="64">
        <v>1</v>
      </c>
      <c r="B127" s="96">
        <f>SUBTOTAL(103,$A$16:A127)</f>
        <v>112</v>
      </c>
      <c r="C127" s="94" t="s">
        <v>1688</v>
      </c>
      <c r="D127" s="138">
        <v>1961</v>
      </c>
      <c r="E127" s="138"/>
      <c r="F127" s="167" t="s">
        <v>273</v>
      </c>
      <c r="G127" s="138">
        <v>4</v>
      </c>
      <c r="H127" s="138">
        <v>2</v>
      </c>
      <c r="I127" s="130">
        <v>1276.7</v>
      </c>
      <c r="J127" s="130">
        <v>1276.7</v>
      </c>
      <c r="K127" s="130">
        <v>1232.9000000000001</v>
      </c>
      <c r="L127" s="139">
        <v>80</v>
      </c>
      <c r="M127" s="138" t="s">
        <v>271</v>
      </c>
      <c r="N127" s="138" t="s">
        <v>275</v>
      </c>
      <c r="O127" s="136" t="s">
        <v>1691</v>
      </c>
      <c r="P127" s="130">
        <v>3080999.9</v>
      </c>
      <c r="Q127" s="130">
        <v>0</v>
      </c>
      <c r="R127" s="130">
        <v>0</v>
      </c>
      <c r="S127" s="130">
        <f t="shared" si="10"/>
        <v>3080999.9</v>
      </c>
      <c r="T127" s="130">
        <f t="shared" si="4"/>
        <v>2413.2528393514526</v>
      </c>
      <c r="U127" s="130">
        <v>2891.683715829874</v>
      </c>
    </row>
    <row r="128" spans="1:21" s="64" customFormat="1" ht="36" customHeight="1" x14ac:dyDescent="0.9">
      <c r="A128" s="64">
        <v>1</v>
      </c>
      <c r="B128" s="96">
        <f>SUBTOTAL(103,$A$16:A128)</f>
        <v>113</v>
      </c>
      <c r="C128" s="94" t="s">
        <v>1689</v>
      </c>
      <c r="D128" s="138">
        <v>1953</v>
      </c>
      <c r="E128" s="138"/>
      <c r="F128" s="167" t="s">
        <v>273</v>
      </c>
      <c r="G128" s="138">
        <v>2</v>
      </c>
      <c r="H128" s="138">
        <v>2</v>
      </c>
      <c r="I128" s="130">
        <v>620.29999999999995</v>
      </c>
      <c r="J128" s="130">
        <v>581.20000000000005</v>
      </c>
      <c r="K128" s="130">
        <v>581.20000000000005</v>
      </c>
      <c r="L128" s="139">
        <v>30</v>
      </c>
      <c r="M128" s="138" t="s">
        <v>271</v>
      </c>
      <c r="N128" s="138" t="s">
        <v>275</v>
      </c>
      <c r="O128" s="136" t="s">
        <v>358</v>
      </c>
      <c r="P128" s="130">
        <v>3180464.5600000005</v>
      </c>
      <c r="Q128" s="130">
        <v>0</v>
      </c>
      <c r="R128" s="130">
        <v>0</v>
      </c>
      <c r="S128" s="130">
        <f t="shared" si="10"/>
        <v>3180464.5600000005</v>
      </c>
      <c r="T128" s="130">
        <f t="shared" si="4"/>
        <v>5127.3005964855729</v>
      </c>
      <c r="U128" s="130">
        <v>7427.9633886828969</v>
      </c>
    </row>
    <row r="129" spans="1:21" s="64" customFormat="1" ht="36" customHeight="1" x14ac:dyDescent="0.9">
      <c r="B129" s="94" t="s">
        <v>799</v>
      </c>
      <c r="C129" s="126"/>
      <c r="D129" s="138" t="s">
        <v>934</v>
      </c>
      <c r="E129" s="138" t="s">
        <v>934</v>
      </c>
      <c r="F129" s="138" t="s">
        <v>934</v>
      </c>
      <c r="G129" s="138" t="s">
        <v>934</v>
      </c>
      <c r="H129" s="138" t="s">
        <v>934</v>
      </c>
      <c r="I129" s="129">
        <f>SUM(I130:I161)</f>
        <v>57208.5</v>
      </c>
      <c r="J129" s="129">
        <f t="shared" ref="J129:L129" si="12">SUM(J130:J161)</f>
        <v>51290.5</v>
      </c>
      <c r="K129" s="129">
        <f t="shared" si="12"/>
        <v>45684.500000000007</v>
      </c>
      <c r="L129" s="139">
        <f t="shared" si="12"/>
        <v>2332</v>
      </c>
      <c r="M129" s="138" t="s">
        <v>934</v>
      </c>
      <c r="N129" s="138" t="s">
        <v>934</v>
      </c>
      <c r="O129" s="136" t="s">
        <v>934</v>
      </c>
      <c r="P129" s="129">
        <v>95682574.419999987</v>
      </c>
      <c r="Q129" s="129">
        <f t="shared" ref="Q129:S129" si="13">SUM(Q130:Q161)</f>
        <v>0</v>
      </c>
      <c r="R129" s="129">
        <f t="shared" si="13"/>
        <v>0</v>
      </c>
      <c r="S129" s="129">
        <f t="shared" si="13"/>
        <v>95682574.419999987</v>
      </c>
      <c r="T129" s="130">
        <f t="shared" si="4"/>
        <v>1672.5237407028674</v>
      </c>
      <c r="U129" s="130">
        <f>MAX(U130:U161)</f>
        <v>10701.209483443708</v>
      </c>
    </row>
    <row r="130" spans="1:21" s="64" customFormat="1" ht="36" customHeight="1" x14ac:dyDescent="0.9">
      <c r="A130" s="64">
        <v>1</v>
      </c>
      <c r="B130" s="96">
        <f>SUBTOTAL(103,$A$16:A130)</f>
        <v>114</v>
      </c>
      <c r="C130" s="94" t="s">
        <v>460</v>
      </c>
      <c r="D130" s="138">
        <v>1966</v>
      </c>
      <c r="E130" s="138"/>
      <c r="F130" s="167" t="s">
        <v>273</v>
      </c>
      <c r="G130" s="138">
        <v>2</v>
      </c>
      <c r="H130" s="138">
        <v>2</v>
      </c>
      <c r="I130" s="130">
        <v>774.9</v>
      </c>
      <c r="J130" s="130">
        <v>707.3</v>
      </c>
      <c r="K130" s="130">
        <v>707.3</v>
      </c>
      <c r="L130" s="139">
        <v>39</v>
      </c>
      <c r="M130" s="138" t="s">
        <v>271</v>
      </c>
      <c r="N130" s="138" t="s">
        <v>275</v>
      </c>
      <c r="O130" s="136" t="s">
        <v>348</v>
      </c>
      <c r="P130" s="130">
        <v>3009959</v>
      </c>
      <c r="Q130" s="130">
        <v>0</v>
      </c>
      <c r="R130" s="130">
        <v>0</v>
      </c>
      <c r="S130" s="130">
        <f t="shared" ref="S130:S160" si="14">P130-Q130-R130</f>
        <v>3009959</v>
      </c>
      <c r="T130" s="130">
        <f t="shared" si="4"/>
        <v>3884.319267002194</v>
      </c>
      <c r="U130" s="130">
        <v>4392.3009162472581</v>
      </c>
    </row>
    <row r="131" spans="1:21" s="64" customFormat="1" ht="36" customHeight="1" x14ac:dyDescent="0.9">
      <c r="A131" s="64">
        <v>1</v>
      </c>
      <c r="B131" s="96">
        <f>SUBTOTAL(103,$A$16:A131)</f>
        <v>115</v>
      </c>
      <c r="C131" s="94" t="s">
        <v>461</v>
      </c>
      <c r="D131" s="138">
        <v>1959</v>
      </c>
      <c r="E131" s="138"/>
      <c r="F131" s="167" t="s">
        <v>273</v>
      </c>
      <c r="G131" s="138">
        <v>2</v>
      </c>
      <c r="H131" s="138">
        <v>2</v>
      </c>
      <c r="I131" s="130">
        <v>680.5</v>
      </c>
      <c r="J131" s="130">
        <v>632.1</v>
      </c>
      <c r="K131" s="130">
        <v>632.1</v>
      </c>
      <c r="L131" s="139">
        <v>38</v>
      </c>
      <c r="M131" s="138" t="s">
        <v>271</v>
      </c>
      <c r="N131" s="138" t="s">
        <v>272</v>
      </c>
      <c r="O131" s="136" t="s">
        <v>274</v>
      </c>
      <c r="P131" s="130">
        <v>3455441.67</v>
      </c>
      <c r="Q131" s="130">
        <v>0</v>
      </c>
      <c r="R131" s="130">
        <v>0</v>
      </c>
      <c r="S131" s="130">
        <f t="shared" si="14"/>
        <v>3455441.67</v>
      </c>
      <c r="T131" s="130">
        <f t="shared" si="4"/>
        <v>5077.798192505511</v>
      </c>
      <c r="U131" s="130">
        <v>5679.8895679647321</v>
      </c>
    </row>
    <row r="132" spans="1:21" s="64" customFormat="1" ht="36" customHeight="1" x14ac:dyDescent="0.9">
      <c r="A132" s="64">
        <v>1</v>
      </c>
      <c r="B132" s="96">
        <f>SUBTOTAL(103,$A$16:A132)</f>
        <v>116</v>
      </c>
      <c r="C132" s="94" t="s">
        <v>462</v>
      </c>
      <c r="D132" s="138">
        <v>1958</v>
      </c>
      <c r="E132" s="138"/>
      <c r="F132" s="167" t="s">
        <v>273</v>
      </c>
      <c r="G132" s="138">
        <v>2</v>
      </c>
      <c r="H132" s="138">
        <v>2</v>
      </c>
      <c r="I132" s="130">
        <v>615.29999999999995</v>
      </c>
      <c r="J132" s="130">
        <v>568.6</v>
      </c>
      <c r="K132" s="130">
        <v>492.1</v>
      </c>
      <c r="L132" s="139">
        <v>25</v>
      </c>
      <c r="M132" s="138" t="s">
        <v>271</v>
      </c>
      <c r="N132" s="138" t="s">
        <v>272</v>
      </c>
      <c r="O132" s="136" t="s">
        <v>274</v>
      </c>
      <c r="P132" s="130">
        <v>59874.84</v>
      </c>
      <c r="Q132" s="130">
        <v>0</v>
      </c>
      <c r="R132" s="130">
        <v>0</v>
      </c>
      <c r="S132" s="130">
        <f>P132-Q132-R132</f>
        <v>59874.84</v>
      </c>
      <c r="T132" s="130">
        <f t="shared" si="4"/>
        <v>97.309995124329603</v>
      </c>
      <c r="U132" s="130">
        <f>T132</f>
        <v>97.309995124329603</v>
      </c>
    </row>
    <row r="133" spans="1:21" s="64" customFormat="1" ht="36" customHeight="1" x14ac:dyDescent="0.9">
      <c r="A133" s="64">
        <v>1</v>
      </c>
      <c r="B133" s="96">
        <f>SUBTOTAL(103,$A$16:A133)</f>
        <v>117</v>
      </c>
      <c r="C133" s="94" t="s">
        <v>463</v>
      </c>
      <c r="D133" s="138">
        <v>1969</v>
      </c>
      <c r="E133" s="138"/>
      <c r="F133" s="167" t="s">
        <v>273</v>
      </c>
      <c r="G133" s="138">
        <v>2</v>
      </c>
      <c r="H133" s="138">
        <v>2</v>
      </c>
      <c r="I133" s="130">
        <v>725.2</v>
      </c>
      <c r="J133" s="130">
        <v>674.9</v>
      </c>
      <c r="K133" s="130">
        <v>506.2</v>
      </c>
      <c r="L133" s="139">
        <v>25</v>
      </c>
      <c r="M133" s="138" t="s">
        <v>271</v>
      </c>
      <c r="N133" s="138" t="s">
        <v>272</v>
      </c>
      <c r="O133" s="136" t="s">
        <v>274</v>
      </c>
      <c r="P133" s="130">
        <v>66096.710000000006</v>
      </c>
      <c r="Q133" s="130">
        <v>0</v>
      </c>
      <c r="R133" s="130">
        <v>0</v>
      </c>
      <c r="S133" s="130">
        <f>P133-Q133-R133</f>
        <v>66096.710000000006</v>
      </c>
      <c r="T133" s="130">
        <f t="shared" si="4"/>
        <v>91.142733039161612</v>
      </c>
      <c r="U133" s="130">
        <f>T133</f>
        <v>91.142733039161612</v>
      </c>
    </row>
    <row r="134" spans="1:21" s="64" customFormat="1" ht="36" customHeight="1" x14ac:dyDescent="0.9">
      <c r="A134" s="64">
        <v>1</v>
      </c>
      <c r="B134" s="96">
        <f>SUBTOTAL(103,$A$16:A134)</f>
        <v>118</v>
      </c>
      <c r="C134" s="94" t="s">
        <v>464</v>
      </c>
      <c r="D134" s="138">
        <v>1959</v>
      </c>
      <c r="E134" s="138"/>
      <c r="F134" s="167" t="s">
        <v>273</v>
      </c>
      <c r="G134" s="138">
        <v>2</v>
      </c>
      <c r="H134" s="138">
        <v>2</v>
      </c>
      <c r="I134" s="130">
        <v>654.20000000000005</v>
      </c>
      <c r="J134" s="130">
        <v>602.9</v>
      </c>
      <c r="K134" s="130">
        <v>534.79999999999995</v>
      </c>
      <c r="L134" s="139">
        <v>34</v>
      </c>
      <c r="M134" s="138" t="s">
        <v>271</v>
      </c>
      <c r="N134" s="138" t="s">
        <v>272</v>
      </c>
      <c r="O134" s="136" t="s">
        <v>274</v>
      </c>
      <c r="P134" s="130">
        <v>3318686.16</v>
      </c>
      <c r="Q134" s="130">
        <v>0</v>
      </c>
      <c r="R134" s="130">
        <v>0</v>
      </c>
      <c r="S134" s="130">
        <f t="shared" si="14"/>
        <v>3318686.16</v>
      </c>
      <c r="T134" s="130">
        <f t="shared" si="4"/>
        <v>5072.8923265056555</v>
      </c>
      <c r="U134" s="130">
        <v>5682.8432919596453</v>
      </c>
    </row>
    <row r="135" spans="1:21" s="64" customFormat="1" ht="36" customHeight="1" x14ac:dyDescent="0.9">
      <c r="A135" s="64">
        <v>1</v>
      </c>
      <c r="B135" s="96">
        <f>SUBTOTAL(103,$A$16:A135)</f>
        <v>119</v>
      </c>
      <c r="C135" s="94" t="s">
        <v>465</v>
      </c>
      <c r="D135" s="138">
        <v>1959</v>
      </c>
      <c r="E135" s="138"/>
      <c r="F135" s="167" t="s">
        <v>273</v>
      </c>
      <c r="G135" s="138">
        <v>2</v>
      </c>
      <c r="H135" s="138">
        <v>2</v>
      </c>
      <c r="I135" s="130">
        <v>672.5</v>
      </c>
      <c r="J135" s="130">
        <v>622.20000000000005</v>
      </c>
      <c r="K135" s="130">
        <v>579.9</v>
      </c>
      <c r="L135" s="139">
        <v>42</v>
      </c>
      <c r="M135" s="138" t="s">
        <v>271</v>
      </c>
      <c r="N135" s="138" t="s">
        <v>275</v>
      </c>
      <c r="O135" s="136" t="s">
        <v>348</v>
      </c>
      <c r="P135" s="130">
        <v>3184842.96</v>
      </c>
      <c r="Q135" s="130">
        <v>0</v>
      </c>
      <c r="R135" s="130">
        <v>0</v>
      </c>
      <c r="S135" s="130">
        <f t="shared" si="14"/>
        <v>3184842.96</v>
      </c>
      <c r="T135" s="130">
        <f t="shared" si="4"/>
        <v>4735.825962825279</v>
      </c>
      <c r="U135" s="130">
        <v>5309.2173620817839</v>
      </c>
    </row>
    <row r="136" spans="1:21" s="64" customFormat="1" ht="36" customHeight="1" x14ac:dyDescent="0.9">
      <c r="A136" s="64">
        <v>1</v>
      </c>
      <c r="B136" s="96">
        <f>SUBTOTAL(103,$A$16:A136)</f>
        <v>120</v>
      </c>
      <c r="C136" s="94" t="s">
        <v>466</v>
      </c>
      <c r="D136" s="138">
        <v>1962</v>
      </c>
      <c r="E136" s="138"/>
      <c r="F136" s="167" t="s">
        <v>273</v>
      </c>
      <c r="G136" s="138">
        <v>3</v>
      </c>
      <c r="H136" s="138">
        <v>2</v>
      </c>
      <c r="I136" s="130">
        <v>1048.7</v>
      </c>
      <c r="J136" s="130">
        <v>975.1</v>
      </c>
      <c r="K136" s="130">
        <v>975.1</v>
      </c>
      <c r="L136" s="139">
        <v>56</v>
      </c>
      <c r="M136" s="138" t="s">
        <v>271</v>
      </c>
      <c r="N136" s="138" t="s">
        <v>275</v>
      </c>
      <c r="O136" s="136" t="s">
        <v>355</v>
      </c>
      <c r="P136" s="130">
        <v>3254641.7199999997</v>
      </c>
      <c r="Q136" s="130">
        <v>0</v>
      </c>
      <c r="R136" s="130">
        <v>0</v>
      </c>
      <c r="S136" s="130">
        <f t="shared" si="14"/>
        <v>3254641.7199999997</v>
      </c>
      <c r="T136" s="130">
        <f t="shared" si="4"/>
        <v>3103.501211023171</v>
      </c>
      <c r="U136" s="130">
        <v>3285.8893868599221</v>
      </c>
    </row>
    <row r="137" spans="1:21" s="64" customFormat="1" ht="36" customHeight="1" x14ac:dyDescent="0.9">
      <c r="A137" s="64">
        <v>1</v>
      </c>
      <c r="B137" s="96">
        <f>SUBTOTAL(103,$A$16:A137)</f>
        <v>121</v>
      </c>
      <c r="C137" s="94" t="s">
        <v>467</v>
      </c>
      <c r="D137" s="138">
        <v>1962</v>
      </c>
      <c r="E137" s="138"/>
      <c r="F137" s="167" t="s">
        <v>273</v>
      </c>
      <c r="G137" s="138">
        <v>2</v>
      </c>
      <c r="H137" s="138">
        <v>2</v>
      </c>
      <c r="I137" s="130">
        <v>637.20000000000005</v>
      </c>
      <c r="J137" s="130">
        <v>631.1</v>
      </c>
      <c r="K137" s="130">
        <v>631.1</v>
      </c>
      <c r="L137" s="139">
        <v>42</v>
      </c>
      <c r="M137" s="138" t="s">
        <v>271</v>
      </c>
      <c r="N137" s="138" t="s">
        <v>275</v>
      </c>
      <c r="O137" s="136" t="s">
        <v>348</v>
      </c>
      <c r="P137" s="130">
        <v>4028772.94</v>
      </c>
      <c r="Q137" s="130">
        <v>0</v>
      </c>
      <c r="R137" s="130">
        <v>0</v>
      </c>
      <c r="S137" s="130">
        <f t="shared" si="14"/>
        <v>4028772.94</v>
      </c>
      <c r="T137" s="130">
        <f t="shared" si="4"/>
        <v>6322.6191776522282</v>
      </c>
      <c r="U137" s="130">
        <v>7049.2416509730065</v>
      </c>
    </row>
    <row r="138" spans="1:21" s="64" customFormat="1" ht="36" customHeight="1" x14ac:dyDescent="0.9">
      <c r="A138" s="64">
        <v>1</v>
      </c>
      <c r="B138" s="96">
        <f>SUBTOTAL(103,$A$16:A138)</f>
        <v>122</v>
      </c>
      <c r="C138" s="94" t="s">
        <v>468</v>
      </c>
      <c r="D138" s="138">
        <v>1962</v>
      </c>
      <c r="E138" s="138"/>
      <c r="F138" s="167" t="s">
        <v>273</v>
      </c>
      <c r="G138" s="138">
        <v>2</v>
      </c>
      <c r="H138" s="138">
        <v>2</v>
      </c>
      <c r="I138" s="130">
        <v>695</v>
      </c>
      <c r="J138" s="130">
        <v>644</v>
      </c>
      <c r="K138" s="130">
        <v>598</v>
      </c>
      <c r="L138" s="139">
        <v>42</v>
      </c>
      <c r="M138" s="138" t="s">
        <v>271</v>
      </c>
      <c r="N138" s="138" t="s">
        <v>275</v>
      </c>
      <c r="O138" s="136" t="s">
        <v>348</v>
      </c>
      <c r="P138" s="130">
        <v>2469426.2299999995</v>
      </c>
      <c r="Q138" s="130">
        <v>0</v>
      </c>
      <c r="R138" s="130">
        <v>0</v>
      </c>
      <c r="S138" s="130">
        <f t="shared" si="14"/>
        <v>2469426.2299999995</v>
      </c>
      <c r="T138" s="130">
        <f t="shared" si="4"/>
        <v>3553.1312661870497</v>
      </c>
      <c r="U138" s="130">
        <v>3966.5176402877701</v>
      </c>
    </row>
    <row r="139" spans="1:21" s="64" customFormat="1" ht="36" customHeight="1" x14ac:dyDescent="0.9">
      <c r="A139" s="64">
        <v>1</v>
      </c>
      <c r="B139" s="96">
        <f>SUBTOTAL(103,$A$16:A139)</f>
        <v>123</v>
      </c>
      <c r="C139" s="94" t="s">
        <v>469</v>
      </c>
      <c r="D139" s="138">
        <v>1963</v>
      </c>
      <c r="E139" s="138"/>
      <c r="F139" s="167" t="s">
        <v>273</v>
      </c>
      <c r="G139" s="138">
        <v>4</v>
      </c>
      <c r="H139" s="138">
        <v>3</v>
      </c>
      <c r="I139" s="130">
        <v>2084.9</v>
      </c>
      <c r="J139" s="130">
        <v>1940.4</v>
      </c>
      <c r="K139" s="130">
        <v>1400.4</v>
      </c>
      <c r="L139" s="139">
        <v>83</v>
      </c>
      <c r="M139" s="138" t="s">
        <v>271</v>
      </c>
      <c r="N139" s="138" t="s">
        <v>275</v>
      </c>
      <c r="O139" s="136" t="s">
        <v>355</v>
      </c>
      <c r="P139" s="130">
        <v>4857461.72</v>
      </c>
      <c r="Q139" s="130">
        <v>0</v>
      </c>
      <c r="R139" s="130">
        <v>0</v>
      </c>
      <c r="S139" s="130">
        <f t="shared" si="14"/>
        <v>4857461.72</v>
      </c>
      <c r="T139" s="130">
        <f t="shared" si="4"/>
        <v>2329.8295937455032</v>
      </c>
      <c r="U139" s="130">
        <v>2421.1996258813369</v>
      </c>
    </row>
    <row r="140" spans="1:21" s="64" customFormat="1" ht="36" customHeight="1" x14ac:dyDescent="0.9">
      <c r="A140" s="64">
        <v>1</v>
      </c>
      <c r="B140" s="96">
        <f>SUBTOTAL(103,$A$16:A140)</f>
        <v>124</v>
      </c>
      <c r="C140" s="94" t="s">
        <v>470</v>
      </c>
      <c r="D140" s="138">
        <v>1961</v>
      </c>
      <c r="E140" s="138"/>
      <c r="F140" s="167" t="s">
        <v>273</v>
      </c>
      <c r="G140" s="138">
        <v>2</v>
      </c>
      <c r="H140" s="138">
        <v>2</v>
      </c>
      <c r="I140" s="130">
        <v>695.4</v>
      </c>
      <c r="J140" s="130">
        <v>646.20000000000005</v>
      </c>
      <c r="K140" s="130">
        <v>646.20000000000005</v>
      </c>
      <c r="L140" s="139">
        <v>42</v>
      </c>
      <c r="M140" s="138" t="s">
        <v>271</v>
      </c>
      <c r="N140" s="138" t="s">
        <v>275</v>
      </c>
      <c r="O140" s="136" t="s">
        <v>348</v>
      </c>
      <c r="P140" s="130">
        <v>2469776.42</v>
      </c>
      <c r="Q140" s="130">
        <v>0</v>
      </c>
      <c r="R140" s="130">
        <v>0</v>
      </c>
      <c r="S140" s="130">
        <f t="shared" si="14"/>
        <v>2469776.42</v>
      </c>
      <c r="T140" s="130">
        <f t="shared" si="4"/>
        <v>3551.5910555076216</v>
      </c>
      <c r="U140" s="130">
        <v>3964.2360655737712</v>
      </c>
    </row>
    <row r="141" spans="1:21" s="64" customFormat="1" ht="36" customHeight="1" x14ac:dyDescent="0.9">
      <c r="A141" s="64">
        <v>1</v>
      </c>
      <c r="B141" s="96">
        <f>SUBTOTAL(103,$A$16:A141)</f>
        <v>125</v>
      </c>
      <c r="C141" s="94" t="s">
        <v>471</v>
      </c>
      <c r="D141" s="138">
        <v>1966</v>
      </c>
      <c r="E141" s="138"/>
      <c r="F141" s="167" t="s">
        <v>273</v>
      </c>
      <c r="G141" s="138">
        <v>5</v>
      </c>
      <c r="H141" s="138">
        <v>3</v>
      </c>
      <c r="I141" s="130">
        <v>2708.5</v>
      </c>
      <c r="J141" s="130">
        <v>2523.1</v>
      </c>
      <c r="K141" s="130">
        <v>2480.8000000000002</v>
      </c>
      <c r="L141" s="139">
        <v>137</v>
      </c>
      <c r="M141" s="138" t="s">
        <v>271</v>
      </c>
      <c r="N141" s="138" t="s">
        <v>349</v>
      </c>
      <c r="O141" s="136" t="s">
        <v>356</v>
      </c>
      <c r="P141" s="130">
        <v>4516946.4800000004</v>
      </c>
      <c r="Q141" s="130">
        <v>0</v>
      </c>
      <c r="R141" s="130">
        <v>0</v>
      </c>
      <c r="S141" s="130">
        <f t="shared" si="14"/>
        <v>4516946.4800000004</v>
      </c>
      <c r="T141" s="130">
        <f t="shared" si="4"/>
        <v>1667.6929961233157</v>
      </c>
      <c r="U141" s="130">
        <v>2004.3651762968434</v>
      </c>
    </row>
    <row r="142" spans="1:21" s="64" customFormat="1" ht="36" customHeight="1" x14ac:dyDescent="0.9">
      <c r="A142" s="64">
        <v>1</v>
      </c>
      <c r="B142" s="96">
        <f>SUBTOTAL(103,$A$16:A142)</f>
        <v>126</v>
      </c>
      <c r="C142" s="94" t="s">
        <v>472</v>
      </c>
      <c r="D142" s="138">
        <v>1968</v>
      </c>
      <c r="E142" s="138">
        <v>2010</v>
      </c>
      <c r="F142" s="167" t="s">
        <v>338</v>
      </c>
      <c r="G142" s="138">
        <v>2</v>
      </c>
      <c r="H142" s="138">
        <v>2</v>
      </c>
      <c r="I142" s="130">
        <v>522</v>
      </c>
      <c r="J142" s="130">
        <v>471.1</v>
      </c>
      <c r="K142" s="130">
        <v>341.6</v>
      </c>
      <c r="L142" s="139">
        <v>22</v>
      </c>
      <c r="M142" s="138" t="s">
        <v>271</v>
      </c>
      <c r="N142" s="138" t="s">
        <v>272</v>
      </c>
      <c r="O142" s="136" t="s">
        <v>274</v>
      </c>
      <c r="P142" s="130">
        <v>1777787.8900000001</v>
      </c>
      <c r="Q142" s="130">
        <v>0</v>
      </c>
      <c r="R142" s="130">
        <v>0</v>
      </c>
      <c r="S142" s="130">
        <f t="shared" si="14"/>
        <v>1777787.8900000001</v>
      </c>
      <c r="T142" s="130">
        <f t="shared" ref="T142:T203" si="15">P142/I142</f>
        <v>3405.7239272030652</v>
      </c>
      <c r="U142" s="130">
        <v>6540.8864942528735</v>
      </c>
    </row>
    <row r="143" spans="1:21" s="64" customFormat="1" ht="36" customHeight="1" x14ac:dyDescent="0.9">
      <c r="A143" s="64">
        <v>1</v>
      </c>
      <c r="B143" s="96">
        <f>SUBTOTAL(103,$A$16:A143)</f>
        <v>127</v>
      </c>
      <c r="C143" s="94" t="s">
        <v>1205</v>
      </c>
      <c r="D143" s="138">
        <v>1975</v>
      </c>
      <c r="E143" s="138">
        <v>2008</v>
      </c>
      <c r="F143" s="167" t="s">
        <v>319</v>
      </c>
      <c r="G143" s="138">
        <v>5</v>
      </c>
      <c r="H143" s="138">
        <v>6</v>
      </c>
      <c r="I143" s="130">
        <v>5015.3</v>
      </c>
      <c r="J143" s="130">
        <v>4555.7</v>
      </c>
      <c r="K143" s="130">
        <v>4267.7</v>
      </c>
      <c r="L143" s="139">
        <v>201</v>
      </c>
      <c r="M143" s="138" t="s">
        <v>271</v>
      </c>
      <c r="N143" s="138" t="s">
        <v>275</v>
      </c>
      <c r="O143" s="136" t="s">
        <v>1373</v>
      </c>
      <c r="P143" s="130">
        <v>3729888.9499999997</v>
      </c>
      <c r="Q143" s="130">
        <v>0</v>
      </c>
      <c r="R143" s="130">
        <v>0</v>
      </c>
      <c r="S143" s="130">
        <f t="shared" si="14"/>
        <v>3729888.9499999997</v>
      </c>
      <c r="T143" s="130">
        <f t="shared" si="15"/>
        <v>743.7020616912248</v>
      </c>
      <c r="U143" s="130">
        <v>3426.9700000000003</v>
      </c>
    </row>
    <row r="144" spans="1:21" s="64" customFormat="1" ht="36" customHeight="1" x14ac:dyDescent="0.9">
      <c r="A144" s="64">
        <v>1</v>
      </c>
      <c r="B144" s="96">
        <f>SUBTOTAL(103,$A$16:A144)</f>
        <v>128</v>
      </c>
      <c r="C144" s="94" t="s">
        <v>1206</v>
      </c>
      <c r="D144" s="138">
        <v>1933</v>
      </c>
      <c r="E144" s="138">
        <v>2008</v>
      </c>
      <c r="F144" s="167" t="s">
        <v>273</v>
      </c>
      <c r="G144" s="138">
        <v>3</v>
      </c>
      <c r="H144" s="138">
        <v>4</v>
      </c>
      <c r="I144" s="130">
        <v>1863.4</v>
      </c>
      <c r="J144" s="130">
        <v>1677.4</v>
      </c>
      <c r="K144" s="130">
        <v>1604.4</v>
      </c>
      <c r="L144" s="139">
        <v>86</v>
      </c>
      <c r="M144" s="138" t="s">
        <v>271</v>
      </c>
      <c r="N144" s="138" t="s">
        <v>275</v>
      </c>
      <c r="O144" s="136" t="s">
        <v>355</v>
      </c>
      <c r="P144" s="130">
        <v>4191599.92</v>
      </c>
      <c r="Q144" s="130">
        <v>0</v>
      </c>
      <c r="R144" s="130">
        <v>0</v>
      </c>
      <c r="S144" s="130">
        <f t="shared" si="14"/>
        <v>4191599.92</v>
      </c>
      <c r="T144" s="130">
        <f t="shared" si="15"/>
        <v>2249.4364709670494</v>
      </c>
      <c r="U144" s="130">
        <v>3426.9700000000003</v>
      </c>
    </row>
    <row r="145" spans="1:21" s="64" customFormat="1" ht="36" customHeight="1" x14ac:dyDescent="0.9">
      <c r="A145" s="64">
        <v>1</v>
      </c>
      <c r="B145" s="96">
        <f>SUBTOTAL(103,$A$16:A145)</f>
        <v>129</v>
      </c>
      <c r="C145" s="94" t="s">
        <v>1207</v>
      </c>
      <c r="D145" s="138">
        <v>1928</v>
      </c>
      <c r="E145" s="138">
        <v>2008</v>
      </c>
      <c r="F145" s="167" t="s">
        <v>273</v>
      </c>
      <c r="G145" s="138">
        <v>2</v>
      </c>
      <c r="H145" s="138">
        <v>2</v>
      </c>
      <c r="I145" s="130">
        <v>498.3</v>
      </c>
      <c r="J145" s="130">
        <v>446.6</v>
      </c>
      <c r="K145" s="130">
        <v>412.2</v>
      </c>
      <c r="L145" s="139">
        <v>28</v>
      </c>
      <c r="M145" s="138" t="s">
        <v>271</v>
      </c>
      <c r="N145" s="138" t="s">
        <v>272</v>
      </c>
      <c r="O145" s="136" t="s">
        <v>274</v>
      </c>
      <c r="P145" s="130">
        <v>1666784.6600000001</v>
      </c>
      <c r="Q145" s="130">
        <v>0</v>
      </c>
      <c r="R145" s="130">
        <v>0</v>
      </c>
      <c r="S145" s="130">
        <f t="shared" si="14"/>
        <v>1666784.6600000001</v>
      </c>
      <c r="T145" s="130">
        <f t="shared" si="15"/>
        <v>3344.9421232189447</v>
      </c>
      <c r="U145" s="130">
        <v>10701.209483443708</v>
      </c>
    </row>
    <row r="146" spans="1:21" s="64" customFormat="1" ht="36" customHeight="1" x14ac:dyDescent="0.9">
      <c r="A146" s="64">
        <v>1</v>
      </c>
      <c r="B146" s="96">
        <f>SUBTOTAL(103,$A$16:A146)</f>
        <v>130</v>
      </c>
      <c r="C146" s="94" t="s">
        <v>1208</v>
      </c>
      <c r="D146" s="138" t="s">
        <v>1405</v>
      </c>
      <c r="E146" s="138"/>
      <c r="F146" s="167" t="s">
        <v>273</v>
      </c>
      <c r="G146" s="138" t="s">
        <v>311</v>
      </c>
      <c r="H146" s="138" t="s">
        <v>311</v>
      </c>
      <c r="I146" s="130">
        <v>823.9</v>
      </c>
      <c r="J146" s="130">
        <v>758.2</v>
      </c>
      <c r="K146" s="130">
        <v>682.4</v>
      </c>
      <c r="L146" s="139">
        <v>35</v>
      </c>
      <c r="M146" s="138" t="s">
        <v>271</v>
      </c>
      <c r="N146" s="138" t="s">
        <v>275</v>
      </c>
      <c r="O146" s="136" t="s">
        <v>355</v>
      </c>
      <c r="P146" s="130">
        <v>2074334.5899999999</v>
      </c>
      <c r="Q146" s="130">
        <v>0</v>
      </c>
      <c r="R146" s="130">
        <v>0</v>
      </c>
      <c r="S146" s="130">
        <f t="shared" si="14"/>
        <v>2074334.5899999999</v>
      </c>
      <c r="T146" s="130">
        <f t="shared" si="15"/>
        <v>2517.7018934336688</v>
      </c>
      <c r="U146" s="130">
        <v>7896.5168819031442</v>
      </c>
    </row>
    <row r="147" spans="1:21" s="64" customFormat="1" ht="36" customHeight="1" x14ac:dyDescent="0.9">
      <c r="A147" s="64">
        <v>1</v>
      </c>
      <c r="B147" s="96">
        <f>SUBTOTAL(103,$A$16:A147)</f>
        <v>131</v>
      </c>
      <c r="C147" s="94" t="s">
        <v>1209</v>
      </c>
      <c r="D147" s="138">
        <v>1956</v>
      </c>
      <c r="E147" s="138"/>
      <c r="F147" s="167" t="s">
        <v>273</v>
      </c>
      <c r="G147" s="138">
        <v>2</v>
      </c>
      <c r="H147" s="138" t="s">
        <v>312</v>
      </c>
      <c r="I147" s="130">
        <v>462.2</v>
      </c>
      <c r="J147" s="130">
        <v>420.8</v>
      </c>
      <c r="K147" s="130">
        <v>371.7</v>
      </c>
      <c r="L147" s="139">
        <v>21</v>
      </c>
      <c r="M147" s="138" t="s">
        <v>271</v>
      </c>
      <c r="N147" s="138" t="s">
        <v>272</v>
      </c>
      <c r="O147" s="136" t="s">
        <v>274</v>
      </c>
      <c r="P147" s="130">
        <v>154761.32999999999</v>
      </c>
      <c r="Q147" s="130">
        <v>0</v>
      </c>
      <c r="R147" s="130">
        <v>0</v>
      </c>
      <c r="S147" s="130">
        <f t="shared" si="14"/>
        <v>154761.32999999999</v>
      </c>
      <c r="T147" s="130">
        <f t="shared" si="15"/>
        <v>334.8362829943747</v>
      </c>
      <c r="U147" s="130">
        <v>673.78</v>
      </c>
    </row>
    <row r="148" spans="1:21" s="64" customFormat="1" ht="36" customHeight="1" x14ac:dyDescent="0.9">
      <c r="A148" s="64">
        <v>1</v>
      </c>
      <c r="B148" s="96">
        <f>SUBTOTAL(103,$A$16:A148)</f>
        <v>132</v>
      </c>
      <c r="C148" s="94" t="s">
        <v>1210</v>
      </c>
      <c r="D148" s="138">
        <v>1949</v>
      </c>
      <c r="E148" s="138">
        <v>2008</v>
      </c>
      <c r="F148" s="167" t="s">
        <v>273</v>
      </c>
      <c r="G148" s="138" t="s">
        <v>311</v>
      </c>
      <c r="H148" s="138" t="s">
        <v>312</v>
      </c>
      <c r="I148" s="130">
        <v>490.9</v>
      </c>
      <c r="J148" s="130">
        <v>446.3</v>
      </c>
      <c r="K148" s="130">
        <v>327.2</v>
      </c>
      <c r="L148" s="139">
        <v>28</v>
      </c>
      <c r="M148" s="138" t="s">
        <v>271</v>
      </c>
      <c r="N148" s="138" t="s">
        <v>272</v>
      </c>
      <c r="O148" s="136" t="s">
        <v>274</v>
      </c>
      <c r="P148" s="130">
        <v>1453072.52</v>
      </c>
      <c r="Q148" s="130">
        <v>0</v>
      </c>
      <c r="R148" s="130">
        <v>0</v>
      </c>
      <c r="S148" s="130">
        <f t="shared" si="14"/>
        <v>1453072.52</v>
      </c>
      <c r="T148" s="130">
        <f t="shared" si="15"/>
        <v>2960.0173558769607</v>
      </c>
      <c r="U148" s="130">
        <v>7174.9115909553884</v>
      </c>
    </row>
    <row r="149" spans="1:21" s="64" customFormat="1" ht="36" customHeight="1" x14ac:dyDescent="0.9">
      <c r="A149" s="64">
        <v>1</v>
      </c>
      <c r="B149" s="96">
        <f>SUBTOTAL(103,$A$16:A149)</f>
        <v>133</v>
      </c>
      <c r="C149" s="94" t="s">
        <v>1211</v>
      </c>
      <c r="D149" s="138">
        <v>1964</v>
      </c>
      <c r="E149" s="138"/>
      <c r="F149" s="167" t="s">
        <v>273</v>
      </c>
      <c r="G149" s="138">
        <v>2</v>
      </c>
      <c r="H149" s="138">
        <v>1</v>
      </c>
      <c r="I149" s="130">
        <v>405.1</v>
      </c>
      <c r="J149" s="130">
        <v>380.8</v>
      </c>
      <c r="K149" s="130">
        <v>380.8</v>
      </c>
      <c r="L149" s="139">
        <v>13</v>
      </c>
      <c r="M149" s="138" t="s">
        <v>271</v>
      </c>
      <c r="N149" s="138" t="s">
        <v>272</v>
      </c>
      <c r="O149" s="136" t="s">
        <v>274</v>
      </c>
      <c r="P149" s="130">
        <v>741685.94</v>
      </c>
      <c r="Q149" s="130">
        <v>0</v>
      </c>
      <c r="R149" s="130">
        <v>0</v>
      </c>
      <c r="S149" s="130">
        <f t="shared" si="14"/>
        <v>741685.94</v>
      </c>
      <c r="T149" s="130">
        <f t="shared" si="15"/>
        <v>1830.8712416687235</v>
      </c>
      <c r="U149" s="130">
        <v>3697.55</v>
      </c>
    </row>
    <row r="150" spans="1:21" s="64" customFormat="1" ht="36" customHeight="1" x14ac:dyDescent="0.9">
      <c r="A150" s="64">
        <v>1</v>
      </c>
      <c r="B150" s="96">
        <f>SUBTOTAL(103,$A$16:A150)</f>
        <v>134</v>
      </c>
      <c r="C150" s="94" t="s">
        <v>1212</v>
      </c>
      <c r="D150" s="138">
        <v>1956</v>
      </c>
      <c r="E150" s="138"/>
      <c r="F150" s="167" t="s">
        <v>332</v>
      </c>
      <c r="G150" s="138">
        <v>2</v>
      </c>
      <c r="H150" s="138">
        <v>2</v>
      </c>
      <c r="I150" s="130">
        <v>752.8</v>
      </c>
      <c r="J150" s="130">
        <v>577.9</v>
      </c>
      <c r="K150" s="130">
        <v>454.1</v>
      </c>
      <c r="L150" s="139">
        <v>17</v>
      </c>
      <c r="M150" s="138" t="s">
        <v>271</v>
      </c>
      <c r="N150" s="138" t="s">
        <v>272</v>
      </c>
      <c r="O150" s="136" t="s">
        <v>274</v>
      </c>
      <c r="P150" s="130">
        <v>2205149.9699999997</v>
      </c>
      <c r="Q150" s="130">
        <v>0</v>
      </c>
      <c r="R150" s="130">
        <v>0</v>
      </c>
      <c r="S150" s="130">
        <f t="shared" si="14"/>
        <v>2205149.9699999997</v>
      </c>
      <c r="T150" s="130">
        <f t="shared" si="15"/>
        <v>2929.2640409139212</v>
      </c>
      <c r="U150" s="130">
        <v>8294.9489171094592</v>
      </c>
    </row>
    <row r="151" spans="1:21" s="64" customFormat="1" ht="36" customHeight="1" x14ac:dyDescent="0.9">
      <c r="A151" s="64">
        <v>1</v>
      </c>
      <c r="B151" s="96">
        <f>SUBTOTAL(103,$A$16:A151)</f>
        <v>135</v>
      </c>
      <c r="C151" s="94" t="s">
        <v>1213</v>
      </c>
      <c r="D151" s="138">
        <v>1961</v>
      </c>
      <c r="E151" s="138"/>
      <c r="F151" s="167" t="s">
        <v>273</v>
      </c>
      <c r="G151" s="138">
        <v>2</v>
      </c>
      <c r="H151" s="138">
        <v>2</v>
      </c>
      <c r="I151" s="130">
        <v>588.1</v>
      </c>
      <c r="J151" s="130">
        <v>546.70000000000005</v>
      </c>
      <c r="K151" s="130">
        <v>401.1</v>
      </c>
      <c r="L151" s="139">
        <v>45</v>
      </c>
      <c r="M151" s="138" t="s">
        <v>271</v>
      </c>
      <c r="N151" s="138" t="s">
        <v>272</v>
      </c>
      <c r="O151" s="136" t="s">
        <v>274</v>
      </c>
      <c r="P151" s="130">
        <v>1508346.1500000001</v>
      </c>
      <c r="Q151" s="130">
        <v>0</v>
      </c>
      <c r="R151" s="130">
        <v>0</v>
      </c>
      <c r="S151" s="130">
        <f t="shared" si="14"/>
        <v>1508346.1500000001</v>
      </c>
      <c r="T151" s="130">
        <f t="shared" si="15"/>
        <v>2564.778354021425</v>
      </c>
      <c r="U151" s="130">
        <v>7004.9959884373402</v>
      </c>
    </row>
    <row r="152" spans="1:21" s="64" customFormat="1" ht="36" customHeight="1" x14ac:dyDescent="0.9">
      <c r="A152" s="64">
        <v>1</v>
      </c>
      <c r="B152" s="96">
        <f>SUBTOTAL(103,$A$16:A152)</f>
        <v>136</v>
      </c>
      <c r="C152" s="94" t="s">
        <v>1214</v>
      </c>
      <c r="D152" s="138">
        <v>1955</v>
      </c>
      <c r="E152" s="138"/>
      <c r="F152" s="167" t="s">
        <v>273</v>
      </c>
      <c r="G152" s="138">
        <v>2</v>
      </c>
      <c r="H152" s="138">
        <v>1</v>
      </c>
      <c r="I152" s="130">
        <v>421.3</v>
      </c>
      <c r="J152" s="130">
        <v>388.3</v>
      </c>
      <c r="K152" s="130">
        <v>388.3</v>
      </c>
      <c r="L152" s="139">
        <v>21</v>
      </c>
      <c r="M152" s="138" t="s">
        <v>271</v>
      </c>
      <c r="N152" s="138" t="s">
        <v>272</v>
      </c>
      <c r="O152" s="136" t="s">
        <v>274</v>
      </c>
      <c r="P152" s="130">
        <v>1971369.43</v>
      </c>
      <c r="Q152" s="130">
        <v>0</v>
      </c>
      <c r="R152" s="130">
        <v>0</v>
      </c>
      <c r="S152" s="130">
        <f t="shared" si="14"/>
        <v>1971369.43</v>
      </c>
      <c r="T152" s="130">
        <f t="shared" si="15"/>
        <v>4679.2533349157366</v>
      </c>
      <c r="U152" s="130">
        <v>6773.4909328269641</v>
      </c>
    </row>
    <row r="153" spans="1:21" s="64" customFormat="1" ht="36" customHeight="1" x14ac:dyDescent="0.9">
      <c r="A153" s="64">
        <v>1</v>
      </c>
      <c r="B153" s="96">
        <f>SUBTOTAL(103,$A$16:A153)</f>
        <v>137</v>
      </c>
      <c r="C153" s="94" t="s">
        <v>1215</v>
      </c>
      <c r="D153" s="138">
        <v>1993</v>
      </c>
      <c r="E153" s="138">
        <v>2016</v>
      </c>
      <c r="F153" s="167" t="s">
        <v>293</v>
      </c>
      <c r="G153" s="138">
        <v>9</v>
      </c>
      <c r="H153" s="138">
        <v>4</v>
      </c>
      <c r="I153" s="130">
        <v>9105.2999999999993</v>
      </c>
      <c r="J153" s="130">
        <v>7487.4</v>
      </c>
      <c r="K153" s="130">
        <v>7487.4</v>
      </c>
      <c r="L153" s="139">
        <v>293</v>
      </c>
      <c r="M153" s="138" t="s">
        <v>271</v>
      </c>
      <c r="N153" s="138" t="s">
        <v>349</v>
      </c>
      <c r="O153" s="136" t="s">
        <v>1406</v>
      </c>
      <c r="P153" s="130">
        <v>7871837.8899999997</v>
      </c>
      <c r="Q153" s="130">
        <v>0</v>
      </c>
      <c r="R153" s="130">
        <v>0</v>
      </c>
      <c r="S153" s="130">
        <f t="shared" si="14"/>
        <v>7871837.8899999997</v>
      </c>
      <c r="T153" s="130">
        <f t="shared" si="15"/>
        <v>864.53361119348074</v>
      </c>
      <c r="U153" s="130">
        <v>987.68980703546299</v>
      </c>
    </row>
    <row r="154" spans="1:21" s="64" customFormat="1" ht="36" customHeight="1" x14ac:dyDescent="0.9">
      <c r="A154" s="64">
        <v>1</v>
      </c>
      <c r="B154" s="96">
        <f>SUBTOTAL(103,$A$16:A154)</f>
        <v>138</v>
      </c>
      <c r="C154" s="94" t="s">
        <v>1216</v>
      </c>
      <c r="D154" s="138">
        <v>1977</v>
      </c>
      <c r="E154" s="138">
        <v>2014</v>
      </c>
      <c r="F154" s="167" t="s">
        <v>273</v>
      </c>
      <c r="G154" s="138">
        <v>5</v>
      </c>
      <c r="H154" s="138">
        <v>4</v>
      </c>
      <c r="I154" s="130">
        <v>3912.3</v>
      </c>
      <c r="J154" s="130">
        <v>3639.1</v>
      </c>
      <c r="K154" s="130">
        <v>2451.4</v>
      </c>
      <c r="L154" s="139">
        <v>85</v>
      </c>
      <c r="M154" s="138" t="s">
        <v>271</v>
      </c>
      <c r="N154" s="138" t="s">
        <v>275</v>
      </c>
      <c r="O154" s="136" t="s">
        <v>1373</v>
      </c>
      <c r="P154" s="130">
        <v>3010382.16</v>
      </c>
      <c r="Q154" s="130">
        <v>0</v>
      </c>
      <c r="R154" s="130">
        <v>0</v>
      </c>
      <c r="S154" s="130">
        <f t="shared" si="14"/>
        <v>3010382.16</v>
      </c>
      <c r="T154" s="130">
        <f t="shared" si="15"/>
        <v>769.46608388927234</v>
      </c>
      <c r="U154" s="130">
        <v>3697.55</v>
      </c>
    </row>
    <row r="155" spans="1:21" s="64" customFormat="1" ht="36" customHeight="1" x14ac:dyDescent="0.9">
      <c r="A155" s="64">
        <v>1</v>
      </c>
      <c r="B155" s="96">
        <f>SUBTOTAL(103,$A$16:A155)</f>
        <v>139</v>
      </c>
      <c r="C155" s="94" t="s">
        <v>1217</v>
      </c>
      <c r="D155" s="138">
        <v>1976</v>
      </c>
      <c r="E155" s="138"/>
      <c r="F155" s="167" t="s">
        <v>273</v>
      </c>
      <c r="G155" s="138">
        <v>5</v>
      </c>
      <c r="H155" s="138">
        <v>4</v>
      </c>
      <c r="I155" s="130">
        <v>3635.4</v>
      </c>
      <c r="J155" s="130">
        <v>3360.2</v>
      </c>
      <c r="K155" s="130">
        <v>2816.2</v>
      </c>
      <c r="L155" s="139">
        <v>167</v>
      </c>
      <c r="M155" s="138" t="s">
        <v>271</v>
      </c>
      <c r="N155" s="138" t="s">
        <v>275</v>
      </c>
      <c r="O155" s="136" t="s">
        <v>1407</v>
      </c>
      <c r="P155" s="130">
        <v>2901759.67</v>
      </c>
      <c r="Q155" s="130">
        <v>0</v>
      </c>
      <c r="R155" s="130">
        <v>0</v>
      </c>
      <c r="S155" s="130">
        <f t="shared" si="14"/>
        <v>2901759.67</v>
      </c>
      <c r="T155" s="130">
        <f t="shared" si="15"/>
        <v>798.19543103922535</v>
      </c>
      <c r="U155" s="130">
        <v>3929.63</v>
      </c>
    </row>
    <row r="156" spans="1:21" s="64" customFormat="1" ht="36" customHeight="1" x14ac:dyDescent="0.9">
      <c r="A156" s="64">
        <v>1</v>
      </c>
      <c r="B156" s="96">
        <f>SUBTOTAL(103,$A$16:A156)</f>
        <v>140</v>
      </c>
      <c r="C156" s="94" t="s">
        <v>1218</v>
      </c>
      <c r="D156" s="138">
        <v>1985</v>
      </c>
      <c r="E156" s="138">
        <v>2014</v>
      </c>
      <c r="F156" s="167" t="s">
        <v>273</v>
      </c>
      <c r="G156" s="138">
        <v>9</v>
      </c>
      <c r="H156" s="138">
        <v>3</v>
      </c>
      <c r="I156" s="130">
        <v>7073.4</v>
      </c>
      <c r="J156" s="130">
        <v>6236.1</v>
      </c>
      <c r="K156" s="130">
        <v>5083.1000000000004</v>
      </c>
      <c r="L156" s="139">
        <v>235</v>
      </c>
      <c r="M156" s="138" t="s">
        <v>271</v>
      </c>
      <c r="N156" s="138" t="s">
        <v>275</v>
      </c>
      <c r="O156" s="136" t="s">
        <v>1407</v>
      </c>
      <c r="P156" s="130">
        <v>5068816.8</v>
      </c>
      <c r="Q156" s="130">
        <v>0</v>
      </c>
      <c r="R156" s="130">
        <v>0</v>
      </c>
      <c r="S156" s="130">
        <f t="shared" si="14"/>
        <v>5068816.8</v>
      </c>
      <c r="T156" s="130">
        <f t="shared" si="15"/>
        <v>716.60259564000341</v>
      </c>
      <c r="U156" s="130">
        <v>3602.6400000000003</v>
      </c>
    </row>
    <row r="157" spans="1:21" s="64" customFormat="1" ht="36" customHeight="1" x14ac:dyDescent="0.9">
      <c r="A157" s="64">
        <v>1</v>
      </c>
      <c r="B157" s="96">
        <f>SUBTOTAL(103,$A$16:A157)</f>
        <v>141</v>
      </c>
      <c r="C157" s="94" t="s">
        <v>1219</v>
      </c>
      <c r="D157" s="138">
        <v>1966</v>
      </c>
      <c r="E157" s="138"/>
      <c r="F157" s="167" t="s">
        <v>273</v>
      </c>
      <c r="G157" s="138">
        <v>2</v>
      </c>
      <c r="H157" s="138">
        <v>2</v>
      </c>
      <c r="I157" s="130">
        <v>787.5</v>
      </c>
      <c r="J157" s="130">
        <v>727.8</v>
      </c>
      <c r="K157" s="130">
        <v>727.8</v>
      </c>
      <c r="L157" s="139">
        <v>35</v>
      </c>
      <c r="M157" s="138" t="s">
        <v>271</v>
      </c>
      <c r="N157" s="138" t="s">
        <v>272</v>
      </c>
      <c r="O157" s="136" t="s">
        <v>274</v>
      </c>
      <c r="P157" s="130">
        <v>3562559.92</v>
      </c>
      <c r="Q157" s="130">
        <v>0</v>
      </c>
      <c r="R157" s="130">
        <v>0</v>
      </c>
      <c r="S157" s="130">
        <f t="shared" si="14"/>
        <v>3562559.92</v>
      </c>
      <c r="T157" s="130">
        <f t="shared" si="15"/>
        <v>4523.8856126984128</v>
      </c>
      <c r="U157" s="130">
        <v>5189.4996317460318</v>
      </c>
    </row>
    <row r="158" spans="1:21" s="64" customFormat="1" ht="36" customHeight="1" x14ac:dyDescent="0.9">
      <c r="A158" s="64">
        <v>1</v>
      </c>
      <c r="B158" s="96">
        <f>SUBTOTAL(103,$A$16:A158)</f>
        <v>142</v>
      </c>
      <c r="C158" s="94" t="s">
        <v>1357</v>
      </c>
      <c r="D158" s="138">
        <v>1977</v>
      </c>
      <c r="E158" s="138"/>
      <c r="F158" s="167" t="s">
        <v>326</v>
      </c>
      <c r="G158" s="138">
        <v>5</v>
      </c>
      <c r="H158" s="138">
        <v>8</v>
      </c>
      <c r="I158" s="130">
        <v>6715.9</v>
      </c>
      <c r="J158" s="130">
        <v>6150.8</v>
      </c>
      <c r="K158" s="130">
        <v>5734.8</v>
      </c>
      <c r="L158" s="139">
        <v>309</v>
      </c>
      <c r="M158" s="138" t="s">
        <v>271</v>
      </c>
      <c r="N158" s="138" t="s">
        <v>275</v>
      </c>
      <c r="O158" s="136" t="s">
        <v>1431</v>
      </c>
      <c r="P158" s="130">
        <v>6765057.8700000001</v>
      </c>
      <c r="Q158" s="130">
        <v>0</v>
      </c>
      <c r="R158" s="130">
        <v>0</v>
      </c>
      <c r="S158" s="130">
        <f t="shared" si="14"/>
        <v>6765057.8700000001</v>
      </c>
      <c r="T158" s="130">
        <f t="shared" si="15"/>
        <v>1007.3196250688665</v>
      </c>
      <c r="U158" s="130">
        <v>1445.4949698476748</v>
      </c>
    </row>
    <row r="159" spans="1:21" s="64" customFormat="1" ht="36" customHeight="1" x14ac:dyDescent="0.9">
      <c r="A159" s="64">
        <v>1</v>
      </c>
      <c r="B159" s="96">
        <f>SUBTOTAL(103,$A$16:A159)</f>
        <v>143</v>
      </c>
      <c r="C159" s="94" t="s">
        <v>481</v>
      </c>
      <c r="D159" s="138">
        <v>1970</v>
      </c>
      <c r="E159" s="138"/>
      <c r="F159" s="167" t="s">
        <v>273</v>
      </c>
      <c r="G159" s="138">
        <v>2</v>
      </c>
      <c r="H159" s="138">
        <v>2</v>
      </c>
      <c r="I159" s="130">
        <v>794.8</v>
      </c>
      <c r="J159" s="130">
        <v>737.8</v>
      </c>
      <c r="K159" s="130">
        <v>636.70000000000005</v>
      </c>
      <c r="L159" s="139">
        <v>42</v>
      </c>
      <c r="M159" s="138" t="s">
        <v>271</v>
      </c>
      <c r="N159" s="138" t="s">
        <v>272</v>
      </c>
      <c r="O159" s="136" t="s">
        <v>274</v>
      </c>
      <c r="P159" s="130">
        <v>4358701.74</v>
      </c>
      <c r="Q159" s="130">
        <v>0</v>
      </c>
      <c r="R159" s="130">
        <v>0</v>
      </c>
      <c r="S159" s="130">
        <f t="shared" si="14"/>
        <v>4358701.74</v>
      </c>
      <c r="T159" s="130">
        <f t="shared" si="15"/>
        <v>5484.0233266230507</v>
      </c>
      <c r="U159" s="130">
        <f>T159</f>
        <v>5484.0233266230507</v>
      </c>
    </row>
    <row r="160" spans="1:21" s="64" customFormat="1" ht="36" customHeight="1" x14ac:dyDescent="0.9">
      <c r="A160" s="64">
        <v>1</v>
      </c>
      <c r="B160" s="96">
        <f>SUBTOTAL(103,$A$16:A160)</f>
        <v>144</v>
      </c>
      <c r="C160" s="94" t="s">
        <v>1358</v>
      </c>
      <c r="D160" s="138">
        <v>1978</v>
      </c>
      <c r="E160" s="138"/>
      <c r="F160" s="167" t="s">
        <v>338</v>
      </c>
      <c r="G160" s="138">
        <v>3</v>
      </c>
      <c r="H160" s="138">
        <v>2</v>
      </c>
      <c r="I160" s="130">
        <v>873.7</v>
      </c>
      <c r="J160" s="130">
        <v>873.7</v>
      </c>
      <c r="K160" s="130">
        <v>691.7</v>
      </c>
      <c r="L160" s="139">
        <v>31</v>
      </c>
      <c r="M160" s="138" t="s">
        <v>271</v>
      </c>
      <c r="N160" s="138" t="s">
        <v>272</v>
      </c>
      <c r="O160" s="136" t="s">
        <v>274</v>
      </c>
      <c r="P160" s="130">
        <v>3032293.2399999998</v>
      </c>
      <c r="Q160" s="130">
        <v>0</v>
      </c>
      <c r="R160" s="130">
        <v>0</v>
      </c>
      <c r="S160" s="130">
        <f t="shared" si="14"/>
        <v>3032293.2399999998</v>
      </c>
      <c r="T160" s="130">
        <f t="shared" si="15"/>
        <v>3470.6343596200063</v>
      </c>
      <c r="U160" s="130">
        <v>4879.953740986608</v>
      </c>
    </row>
    <row r="161" spans="1:21" s="64" customFormat="1" ht="36" customHeight="1" x14ac:dyDescent="0.9">
      <c r="A161" s="64">
        <v>1</v>
      </c>
      <c r="B161" s="96">
        <f>SUBTOTAL(103,$A$16:A161)</f>
        <v>145</v>
      </c>
      <c r="C161" s="94" t="s">
        <v>1655</v>
      </c>
      <c r="D161" s="138">
        <v>1927</v>
      </c>
      <c r="E161" s="138"/>
      <c r="F161" s="167" t="s">
        <v>1674</v>
      </c>
      <c r="G161" s="138">
        <v>2</v>
      </c>
      <c r="H161" s="138">
        <v>2</v>
      </c>
      <c r="I161" s="130">
        <v>474.6</v>
      </c>
      <c r="J161" s="130">
        <v>239.9</v>
      </c>
      <c r="K161" s="130">
        <v>239.9</v>
      </c>
      <c r="L161" s="139">
        <v>13</v>
      </c>
      <c r="M161" s="138" t="s">
        <v>271</v>
      </c>
      <c r="N161" s="138" t="s">
        <v>275</v>
      </c>
      <c r="O161" s="136" t="s">
        <v>1673</v>
      </c>
      <c r="P161" s="130">
        <v>2944456.9299999997</v>
      </c>
      <c r="Q161" s="130">
        <v>0</v>
      </c>
      <c r="R161" s="130">
        <v>0</v>
      </c>
      <c r="S161" s="130">
        <f>P161-R161-Q161</f>
        <v>2944456.9299999997</v>
      </c>
      <c r="T161" s="130">
        <f t="shared" si="15"/>
        <v>6204.0811841550767</v>
      </c>
      <c r="U161" s="130">
        <v>9611.3820353982301</v>
      </c>
    </row>
    <row r="162" spans="1:21" s="64" customFormat="1" ht="36" customHeight="1" x14ac:dyDescent="0.9">
      <c r="B162" s="94" t="s">
        <v>800</v>
      </c>
      <c r="C162" s="126"/>
      <c r="D162" s="138" t="s">
        <v>934</v>
      </c>
      <c r="E162" s="138" t="s">
        <v>934</v>
      </c>
      <c r="F162" s="138" t="s">
        <v>934</v>
      </c>
      <c r="G162" s="138" t="s">
        <v>934</v>
      </c>
      <c r="H162" s="138" t="s">
        <v>934</v>
      </c>
      <c r="I162" s="129">
        <f>SUM(I163:I202)</f>
        <v>115020.95999999998</v>
      </c>
      <c r="J162" s="129">
        <f t="shared" ref="J162:L162" si="16">SUM(J163:J202)</f>
        <v>98103.669999999984</v>
      </c>
      <c r="K162" s="129">
        <f t="shared" si="16"/>
        <v>91534.319999999978</v>
      </c>
      <c r="L162" s="139">
        <f t="shared" si="16"/>
        <v>4374</v>
      </c>
      <c r="M162" s="138" t="s">
        <v>934</v>
      </c>
      <c r="N162" s="138" t="s">
        <v>934</v>
      </c>
      <c r="O162" s="136" t="s">
        <v>934</v>
      </c>
      <c r="P162" s="129">
        <v>157621357.26999998</v>
      </c>
      <c r="Q162" s="129">
        <f t="shared" ref="Q162:S162" si="17">SUM(Q163:Q202)</f>
        <v>0</v>
      </c>
      <c r="R162" s="129">
        <f t="shared" si="17"/>
        <v>0</v>
      </c>
      <c r="S162" s="129">
        <f t="shared" si="17"/>
        <v>157621357.26999998</v>
      </c>
      <c r="T162" s="130">
        <f t="shared" si="15"/>
        <v>1370.3707330385698</v>
      </c>
      <c r="U162" s="130">
        <f>MAX(U163:U202)</f>
        <v>6148.3356956956959</v>
      </c>
    </row>
    <row r="163" spans="1:21" s="64" customFormat="1" ht="36" customHeight="1" x14ac:dyDescent="0.9">
      <c r="A163" s="64">
        <v>1</v>
      </c>
      <c r="B163" s="96">
        <f>SUBTOTAL(103,$A$16:A163)</f>
        <v>146</v>
      </c>
      <c r="C163" s="94" t="s">
        <v>403</v>
      </c>
      <c r="D163" s="138">
        <v>1974</v>
      </c>
      <c r="E163" s="138"/>
      <c r="F163" s="167" t="s">
        <v>319</v>
      </c>
      <c r="G163" s="138">
        <v>5</v>
      </c>
      <c r="H163" s="138">
        <v>6</v>
      </c>
      <c r="I163" s="130">
        <v>4988.6899999999996</v>
      </c>
      <c r="J163" s="130">
        <v>4519.59</v>
      </c>
      <c r="K163" s="130">
        <v>4250.8900000000003</v>
      </c>
      <c r="L163" s="139">
        <v>200</v>
      </c>
      <c r="M163" s="138" t="s">
        <v>271</v>
      </c>
      <c r="N163" s="138" t="s">
        <v>275</v>
      </c>
      <c r="O163" s="136" t="s">
        <v>329</v>
      </c>
      <c r="P163" s="130">
        <v>5254416.1700000009</v>
      </c>
      <c r="Q163" s="130">
        <v>0</v>
      </c>
      <c r="R163" s="130">
        <v>0</v>
      </c>
      <c r="S163" s="130">
        <f t="shared" ref="S163:S198" si="18">P163-Q163-R163</f>
        <v>5254416.1700000009</v>
      </c>
      <c r="T163" s="130">
        <f t="shared" si="15"/>
        <v>1053.2657210610403</v>
      </c>
      <c r="U163" s="130">
        <v>1359.6768129508951</v>
      </c>
    </row>
    <row r="164" spans="1:21" s="64" customFormat="1" ht="36" customHeight="1" x14ac:dyDescent="0.9">
      <c r="A164" s="64">
        <v>1</v>
      </c>
      <c r="B164" s="96">
        <f>SUBTOTAL(103,$A$16:A164)</f>
        <v>147</v>
      </c>
      <c r="C164" s="94" t="s">
        <v>404</v>
      </c>
      <c r="D164" s="138">
        <v>1975</v>
      </c>
      <c r="E164" s="138"/>
      <c r="F164" s="167" t="s">
        <v>319</v>
      </c>
      <c r="G164" s="138">
        <v>5</v>
      </c>
      <c r="H164" s="138">
        <v>8</v>
      </c>
      <c r="I164" s="130">
        <v>6689.89</v>
      </c>
      <c r="J164" s="130">
        <v>6122.82</v>
      </c>
      <c r="K164" s="130">
        <v>5460.0199999999995</v>
      </c>
      <c r="L164" s="139">
        <v>285</v>
      </c>
      <c r="M164" s="138" t="s">
        <v>271</v>
      </c>
      <c r="N164" s="138" t="s">
        <v>275</v>
      </c>
      <c r="O164" s="136" t="s">
        <v>1052</v>
      </c>
      <c r="P164" s="130">
        <v>3416932.82</v>
      </c>
      <c r="Q164" s="130">
        <v>0</v>
      </c>
      <c r="R164" s="130">
        <v>0</v>
      </c>
      <c r="S164" s="130">
        <f t="shared" si="18"/>
        <v>3416932.82</v>
      </c>
      <c r="T164" s="130">
        <f t="shared" si="15"/>
        <v>510.76068814285429</v>
      </c>
      <c r="U164" s="130">
        <v>3080.1800000000003</v>
      </c>
    </row>
    <row r="165" spans="1:21" s="64" customFormat="1" ht="36" customHeight="1" x14ac:dyDescent="0.9">
      <c r="A165" s="64">
        <v>1</v>
      </c>
      <c r="B165" s="96">
        <f>SUBTOTAL(103,$A$16:A165)</f>
        <v>148</v>
      </c>
      <c r="C165" s="94" t="s">
        <v>405</v>
      </c>
      <c r="D165" s="138">
        <v>1954</v>
      </c>
      <c r="E165" s="138"/>
      <c r="F165" s="167" t="s">
        <v>273</v>
      </c>
      <c r="G165" s="138">
        <v>2</v>
      </c>
      <c r="H165" s="138">
        <v>3</v>
      </c>
      <c r="I165" s="130">
        <v>641.79999999999995</v>
      </c>
      <c r="J165" s="130">
        <v>552.4</v>
      </c>
      <c r="K165" s="130">
        <v>505.4</v>
      </c>
      <c r="L165" s="139">
        <v>34</v>
      </c>
      <c r="M165" s="138" t="s">
        <v>271</v>
      </c>
      <c r="N165" s="138" t="s">
        <v>275</v>
      </c>
      <c r="O165" s="136" t="s">
        <v>329</v>
      </c>
      <c r="P165" s="130">
        <v>2966463.55</v>
      </c>
      <c r="Q165" s="130">
        <v>0</v>
      </c>
      <c r="R165" s="130">
        <v>0</v>
      </c>
      <c r="S165" s="130">
        <f t="shared" si="18"/>
        <v>2966463.55</v>
      </c>
      <c r="T165" s="130">
        <f t="shared" si="15"/>
        <v>4622.0996416329072</v>
      </c>
      <c r="U165" s="130">
        <f>T165</f>
        <v>4622.0996416329072</v>
      </c>
    </row>
    <row r="166" spans="1:21" s="64" customFormat="1" ht="36" customHeight="1" x14ac:dyDescent="0.9">
      <c r="A166" s="64">
        <v>1</v>
      </c>
      <c r="B166" s="96">
        <f>SUBTOTAL(103,$A$16:A166)</f>
        <v>149</v>
      </c>
      <c r="C166" s="94" t="s">
        <v>406</v>
      </c>
      <c r="D166" s="138">
        <v>1975</v>
      </c>
      <c r="E166" s="138"/>
      <c r="F166" s="167" t="s">
        <v>273</v>
      </c>
      <c r="G166" s="138">
        <v>5</v>
      </c>
      <c r="H166" s="138">
        <v>4</v>
      </c>
      <c r="I166" s="130">
        <v>3325.2</v>
      </c>
      <c r="J166" s="130">
        <v>2700</v>
      </c>
      <c r="K166" s="130">
        <v>2574</v>
      </c>
      <c r="L166" s="139">
        <v>116</v>
      </c>
      <c r="M166" s="138" t="s">
        <v>271</v>
      </c>
      <c r="N166" s="138" t="s">
        <v>275</v>
      </c>
      <c r="O166" s="136" t="s">
        <v>330</v>
      </c>
      <c r="P166" s="130">
        <v>4977514.91</v>
      </c>
      <c r="Q166" s="130">
        <v>0</v>
      </c>
      <c r="R166" s="130">
        <v>0</v>
      </c>
      <c r="S166" s="130">
        <f t="shared" si="18"/>
        <v>4977514.91</v>
      </c>
      <c r="T166" s="130">
        <f t="shared" si="15"/>
        <v>1496.9069258991942</v>
      </c>
      <c r="U166" s="130">
        <v>1687.1727655479369</v>
      </c>
    </row>
    <row r="167" spans="1:21" s="64" customFormat="1" ht="36" customHeight="1" x14ac:dyDescent="0.9">
      <c r="A167" s="64">
        <v>1</v>
      </c>
      <c r="B167" s="96">
        <f>SUBTOTAL(103,$A$16:A167)</f>
        <v>150</v>
      </c>
      <c r="C167" s="94" t="s">
        <v>407</v>
      </c>
      <c r="D167" s="138">
        <v>1966</v>
      </c>
      <c r="E167" s="138"/>
      <c r="F167" s="167" t="s">
        <v>273</v>
      </c>
      <c r="G167" s="138">
        <v>4</v>
      </c>
      <c r="H167" s="138">
        <v>4</v>
      </c>
      <c r="I167" s="130">
        <v>2747.7</v>
      </c>
      <c r="J167" s="130">
        <v>2392.9</v>
      </c>
      <c r="K167" s="130">
        <v>2351.5</v>
      </c>
      <c r="L167" s="139">
        <v>113</v>
      </c>
      <c r="M167" s="138" t="s">
        <v>271</v>
      </c>
      <c r="N167" s="138" t="s">
        <v>275</v>
      </c>
      <c r="O167" s="136" t="s">
        <v>1052</v>
      </c>
      <c r="P167" s="130">
        <v>4523017.83</v>
      </c>
      <c r="Q167" s="130">
        <v>0</v>
      </c>
      <c r="R167" s="130">
        <v>0</v>
      </c>
      <c r="S167" s="130">
        <f t="shared" si="18"/>
        <v>4523017.83</v>
      </c>
      <c r="T167" s="130">
        <f t="shared" si="15"/>
        <v>1646.110503330058</v>
      </c>
      <c r="U167" s="130">
        <v>2147.3847072096664</v>
      </c>
    </row>
    <row r="168" spans="1:21" s="64" customFormat="1" ht="36" customHeight="1" x14ac:dyDescent="0.9">
      <c r="A168" s="64">
        <v>1</v>
      </c>
      <c r="B168" s="96">
        <f>SUBTOTAL(103,$A$16:A168)</f>
        <v>151</v>
      </c>
      <c r="C168" s="94" t="s">
        <v>408</v>
      </c>
      <c r="D168" s="138" t="s">
        <v>331</v>
      </c>
      <c r="E168" s="138"/>
      <c r="F168" s="167" t="s">
        <v>273</v>
      </c>
      <c r="G168" s="138">
        <v>9</v>
      </c>
      <c r="H168" s="138">
        <v>3</v>
      </c>
      <c r="I168" s="130">
        <v>5754.2</v>
      </c>
      <c r="J168" s="130">
        <v>5754.2</v>
      </c>
      <c r="K168" s="130">
        <v>5645.8</v>
      </c>
      <c r="L168" s="139">
        <v>251</v>
      </c>
      <c r="M168" s="138" t="s">
        <v>271</v>
      </c>
      <c r="N168" s="138" t="s">
        <v>275</v>
      </c>
      <c r="O168" s="136" t="s">
        <v>330</v>
      </c>
      <c r="P168" s="130">
        <v>6546708.3700000001</v>
      </c>
      <c r="Q168" s="130">
        <v>0</v>
      </c>
      <c r="R168" s="130">
        <v>0</v>
      </c>
      <c r="S168" s="130">
        <f t="shared" si="18"/>
        <v>6546708.3700000001</v>
      </c>
      <c r="T168" s="130">
        <f t="shared" si="15"/>
        <v>1137.7269420597129</v>
      </c>
      <c r="U168" s="130">
        <v>1172.1714573702686</v>
      </c>
    </row>
    <row r="169" spans="1:21" s="64" customFormat="1" ht="36" customHeight="1" x14ac:dyDescent="0.9">
      <c r="A169" s="64">
        <v>1</v>
      </c>
      <c r="B169" s="96">
        <f>SUBTOTAL(103,$A$16:A169)</f>
        <v>152</v>
      </c>
      <c r="C169" s="94" t="s">
        <v>409</v>
      </c>
      <c r="D169" s="138">
        <v>1949</v>
      </c>
      <c r="E169" s="138"/>
      <c r="F169" s="167" t="s">
        <v>332</v>
      </c>
      <c r="G169" s="138">
        <v>2</v>
      </c>
      <c r="H169" s="138">
        <v>1</v>
      </c>
      <c r="I169" s="130">
        <v>499.5</v>
      </c>
      <c r="J169" s="130">
        <v>450.4</v>
      </c>
      <c r="K169" s="130">
        <v>450.4</v>
      </c>
      <c r="L169" s="139">
        <v>13</v>
      </c>
      <c r="M169" s="138" t="s">
        <v>271</v>
      </c>
      <c r="N169" s="138" t="s">
        <v>272</v>
      </c>
      <c r="O169" s="136" t="s">
        <v>274</v>
      </c>
      <c r="P169" s="130">
        <v>2301005</v>
      </c>
      <c r="Q169" s="130">
        <v>0</v>
      </c>
      <c r="R169" s="130">
        <v>0</v>
      </c>
      <c r="S169" s="130">
        <f t="shared" si="18"/>
        <v>2301005</v>
      </c>
      <c r="T169" s="130">
        <f t="shared" si="15"/>
        <v>4606.6166166166167</v>
      </c>
      <c r="U169" s="130">
        <v>6148.3356956956959</v>
      </c>
    </row>
    <row r="170" spans="1:21" s="64" customFormat="1" ht="36" customHeight="1" x14ac:dyDescent="0.9">
      <c r="A170" s="64">
        <v>1</v>
      </c>
      <c r="B170" s="96">
        <f>SUBTOTAL(103,$A$16:A170)</f>
        <v>153</v>
      </c>
      <c r="C170" s="94" t="s">
        <v>410</v>
      </c>
      <c r="D170" s="138">
        <v>1992</v>
      </c>
      <c r="E170" s="138"/>
      <c r="F170" s="167" t="s">
        <v>273</v>
      </c>
      <c r="G170" s="138">
        <v>9</v>
      </c>
      <c r="H170" s="138">
        <v>3</v>
      </c>
      <c r="I170" s="130">
        <v>6502.8</v>
      </c>
      <c r="J170" s="130">
        <v>5918.2</v>
      </c>
      <c r="K170" s="130">
        <v>5402.9</v>
      </c>
      <c r="L170" s="139">
        <v>278</v>
      </c>
      <c r="M170" s="138" t="s">
        <v>271</v>
      </c>
      <c r="N170" s="138" t="s">
        <v>275</v>
      </c>
      <c r="O170" s="136" t="s">
        <v>1052</v>
      </c>
      <c r="P170" s="130">
        <v>6546708.3700000001</v>
      </c>
      <c r="Q170" s="130">
        <v>0</v>
      </c>
      <c r="R170" s="130">
        <v>0</v>
      </c>
      <c r="S170" s="130">
        <f t="shared" si="18"/>
        <v>6546708.3700000001</v>
      </c>
      <c r="T170" s="130">
        <f t="shared" si="15"/>
        <v>1006.7522251953005</v>
      </c>
      <c r="U170" s="130">
        <v>1037.2315002768039</v>
      </c>
    </row>
    <row r="171" spans="1:21" s="64" customFormat="1" ht="36" customHeight="1" x14ac:dyDescent="0.9">
      <c r="A171" s="64">
        <v>1</v>
      </c>
      <c r="B171" s="96">
        <f>SUBTOTAL(103,$A$16:A171)</f>
        <v>154</v>
      </c>
      <c r="C171" s="94" t="s">
        <v>411</v>
      </c>
      <c r="D171" s="138">
        <v>1974</v>
      </c>
      <c r="E171" s="138"/>
      <c r="F171" s="167" t="s">
        <v>273</v>
      </c>
      <c r="G171" s="138">
        <v>5</v>
      </c>
      <c r="H171" s="138">
        <v>6</v>
      </c>
      <c r="I171" s="130">
        <v>5897.3</v>
      </c>
      <c r="J171" s="130">
        <v>4498.7</v>
      </c>
      <c r="K171" s="130">
        <v>4220.3</v>
      </c>
      <c r="L171" s="139">
        <v>209</v>
      </c>
      <c r="M171" s="138" t="s">
        <v>271</v>
      </c>
      <c r="N171" s="138" t="s">
        <v>275</v>
      </c>
      <c r="O171" s="136" t="s">
        <v>333</v>
      </c>
      <c r="P171" s="130">
        <v>8488648.8200000003</v>
      </c>
      <c r="Q171" s="130">
        <v>0</v>
      </c>
      <c r="R171" s="130">
        <v>0</v>
      </c>
      <c r="S171" s="130">
        <f t="shared" si="18"/>
        <v>8488648.8200000003</v>
      </c>
      <c r="T171" s="130">
        <f t="shared" si="15"/>
        <v>1439.4127515981891</v>
      </c>
      <c r="U171" s="130">
        <v>1619.6949112305633</v>
      </c>
    </row>
    <row r="172" spans="1:21" s="64" customFormat="1" ht="36" customHeight="1" x14ac:dyDescent="0.9">
      <c r="A172" s="64">
        <v>1</v>
      </c>
      <c r="B172" s="96">
        <f>SUBTOTAL(103,$A$16:A172)</f>
        <v>155</v>
      </c>
      <c r="C172" s="94" t="s">
        <v>412</v>
      </c>
      <c r="D172" s="138">
        <v>1974</v>
      </c>
      <c r="E172" s="138"/>
      <c r="F172" s="167" t="s">
        <v>273</v>
      </c>
      <c r="G172" s="138">
        <v>5</v>
      </c>
      <c r="H172" s="138">
        <v>4</v>
      </c>
      <c r="I172" s="130">
        <v>3863.9</v>
      </c>
      <c r="J172" s="130">
        <v>2672.9</v>
      </c>
      <c r="K172" s="130">
        <v>2643.2000000000003</v>
      </c>
      <c r="L172" s="139">
        <v>116</v>
      </c>
      <c r="M172" s="138" t="s">
        <v>271</v>
      </c>
      <c r="N172" s="138" t="s">
        <v>275</v>
      </c>
      <c r="O172" s="136" t="s">
        <v>334</v>
      </c>
      <c r="P172" s="130">
        <v>5245621.29</v>
      </c>
      <c r="Q172" s="130">
        <v>0</v>
      </c>
      <c r="R172" s="130">
        <v>0</v>
      </c>
      <c r="S172" s="130">
        <f t="shared" si="18"/>
        <v>5245621.29</v>
      </c>
      <c r="T172" s="130">
        <f t="shared" si="15"/>
        <v>1357.5975801651182</v>
      </c>
      <c r="U172" s="130">
        <v>1752.3525971169026</v>
      </c>
    </row>
    <row r="173" spans="1:21" s="64" customFormat="1" ht="36" customHeight="1" x14ac:dyDescent="0.9">
      <c r="A173" s="64">
        <v>1</v>
      </c>
      <c r="B173" s="96">
        <f>SUBTOTAL(103,$A$16:A173)</f>
        <v>156</v>
      </c>
      <c r="C173" s="94" t="s">
        <v>413</v>
      </c>
      <c r="D173" s="138">
        <v>1958</v>
      </c>
      <c r="E173" s="138"/>
      <c r="F173" s="167" t="s">
        <v>273</v>
      </c>
      <c r="G173" s="138">
        <v>2</v>
      </c>
      <c r="H173" s="138">
        <v>2</v>
      </c>
      <c r="I173" s="130">
        <v>592.70000000000005</v>
      </c>
      <c r="J173" s="130">
        <v>548</v>
      </c>
      <c r="K173" s="130">
        <v>517.1</v>
      </c>
      <c r="L173" s="139">
        <v>26</v>
      </c>
      <c r="M173" s="138" t="s">
        <v>271</v>
      </c>
      <c r="N173" s="138" t="s">
        <v>272</v>
      </c>
      <c r="O173" s="136" t="s">
        <v>274</v>
      </c>
      <c r="P173" s="130">
        <v>2469495</v>
      </c>
      <c r="Q173" s="130">
        <v>0</v>
      </c>
      <c r="R173" s="130">
        <v>0</v>
      </c>
      <c r="S173" s="130">
        <f t="shared" si="18"/>
        <v>2469495</v>
      </c>
      <c r="T173" s="130">
        <f t="shared" si="15"/>
        <v>4166.5176311793484</v>
      </c>
      <c r="U173" s="130">
        <v>4814.3362915471571</v>
      </c>
    </row>
    <row r="174" spans="1:21" s="64" customFormat="1" ht="36" customHeight="1" x14ac:dyDescent="0.9">
      <c r="A174" s="64">
        <v>1</v>
      </c>
      <c r="B174" s="96">
        <f>SUBTOTAL(103,$A$16:A174)</f>
        <v>157</v>
      </c>
      <c r="C174" s="94" t="s">
        <v>414</v>
      </c>
      <c r="D174" s="138">
        <v>1961</v>
      </c>
      <c r="E174" s="138"/>
      <c r="F174" s="167" t="s">
        <v>273</v>
      </c>
      <c r="G174" s="138">
        <v>2</v>
      </c>
      <c r="H174" s="138">
        <v>2</v>
      </c>
      <c r="I174" s="130">
        <v>679.5</v>
      </c>
      <c r="J174" s="130">
        <v>630.79999999999995</v>
      </c>
      <c r="K174" s="130">
        <v>546.79999999999995</v>
      </c>
      <c r="L174" s="139">
        <v>41</v>
      </c>
      <c r="M174" s="138" t="s">
        <v>271</v>
      </c>
      <c r="N174" s="138" t="s">
        <v>275</v>
      </c>
      <c r="O174" s="136" t="s">
        <v>333</v>
      </c>
      <c r="P174" s="130">
        <v>3345593.72</v>
      </c>
      <c r="Q174" s="130">
        <v>0</v>
      </c>
      <c r="R174" s="130">
        <v>0</v>
      </c>
      <c r="S174" s="130">
        <f t="shared" si="18"/>
        <v>3345593.72</v>
      </c>
      <c r="T174" s="130">
        <f t="shared" si="15"/>
        <v>4923.6110669610007</v>
      </c>
      <c r="U174" s="130">
        <v>5160.2160412067697</v>
      </c>
    </row>
    <row r="175" spans="1:21" s="64" customFormat="1" ht="36" customHeight="1" x14ac:dyDescent="0.9">
      <c r="A175" s="64">
        <v>1</v>
      </c>
      <c r="B175" s="96">
        <f>SUBTOTAL(103,$A$16:A175)</f>
        <v>158</v>
      </c>
      <c r="C175" s="94" t="s">
        <v>415</v>
      </c>
      <c r="D175" s="138">
        <v>1973</v>
      </c>
      <c r="E175" s="138"/>
      <c r="F175" s="167" t="s">
        <v>273</v>
      </c>
      <c r="G175" s="138">
        <v>5</v>
      </c>
      <c r="H175" s="138">
        <v>2</v>
      </c>
      <c r="I175" s="130">
        <v>4577.26</v>
      </c>
      <c r="J175" s="130">
        <v>2783.1</v>
      </c>
      <c r="K175" s="130">
        <v>1846.94</v>
      </c>
      <c r="L175" s="139">
        <v>190</v>
      </c>
      <c r="M175" s="138" t="s">
        <v>271</v>
      </c>
      <c r="N175" s="138" t="s">
        <v>275</v>
      </c>
      <c r="O175" s="136" t="s">
        <v>335</v>
      </c>
      <c r="P175" s="130">
        <v>4548533.17</v>
      </c>
      <c r="Q175" s="130">
        <v>0</v>
      </c>
      <c r="R175" s="130">
        <v>0</v>
      </c>
      <c r="S175" s="130">
        <f t="shared" si="18"/>
        <v>4548533.17</v>
      </c>
      <c r="T175" s="130">
        <f t="shared" si="15"/>
        <v>993.72401174501772</v>
      </c>
      <c r="U175" s="130">
        <v>3191.9682342711576</v>
      </c>
    </row>
    <row r="176" spans="1:21" s="64" customFormat="1" ht="36" customHeight="1" x14ac:dyDescent="0.9">
      <c r="A176" s="64">
        <v>1</v>
      </c>
      <c r="B176" s="96">
        <f>SUBTOTAL(103,$A$16:A176)</f>
        <v>159</v>
      </c>
      <c r="C176" s="94" t="s">
        <v>202</v>
      </c>
      <c r="D176" s="138">
        <v>1986</v>
      </c>
      <c r="E176" s="138"/>
      <c r="F176" s="167" t="s">
        <v>319</v>
      </c>
      <c r="G176" s="138">
        <v>5</v>
      </c>
      <c r="H176" s="138">
        <v>6</v>
      </c>
      <c r="I176" s="130">
        <v>5260.7000000000007</v>
      </c>
      <c r="J176" s="130">
        <v>4728.1000000000004</v>
      </c>
      <c r="K176" s="130">
        <v>4531.4000000000005</v>
      </c>
      <c r="L176" s="139">
        <v>196</v>
      </c>
      <c r="M176" s="138" t="s">
        <v>271</v>
      </c>
      <c r="N176" s="138" t="s">
        <v>275</v>
      </c>
      <c r="O176" s="136" t="s">
        <v>334</v>
      </c>
      <c r="P176" s="130">
        <v>6228961.6500000004</v>
      </c>
      <c r="Q176" s="130">
        <v>0</v>
      </c>
      <c r="R176" s="130">
        <v>0</v>
      </c>
      <c r="S176" s="130">
        <f t="shared" si="18"/>
        <v>6228961.6500000004</v>
      </c>
      <c r="T176" s="130">
        <f t="shared" si="15"/>
        <v>1184.0556674967208</v>
      </c>
      <c r="U176" s="130">
        <v>1528.4015055030698</v>
      </c>
    </row>
    <row r="177" spans="1:21" s="64" customFormat="1" ht="36" customHeight="1" x14ac:dyDescent="0.9">
      <c r="A177" s="64">
        <v>1</v>
      </c>
      <c r="B177" s="96">
        <f>SUBTOTAL(103,$A$16:A177)</f>
        <v>160</v>
      </c>
      <c r="C177" s="94" t="s">
        <v>416</v>
      </c>
      <c r="D177" s="138">
        <v>1951</v>
      </c>
      <c r="E177" s="138"/>
      <c r="F177" s="167" t="s">
        <v>332</v>
      </c>
      <c r="G177" s="138">
        <v>2</v>
      </c>
      <c r="H177" s="138">
        <v>1</v>
      </c>
      <c r="I177" s="130">
        <v>380.35</v>
      </c>
      <c r="J177" s="130">
        <v>339.86</v>
      </c>
      <c r="K177" s="130">
        <v>339.86</v>
      </c>
      <c r="L177" s="139">
        <v>17</v>
      </c>
      <c r="M177" s="138" t="s">
        <v>271</v>
      </c>
      <c r="N177" s="138" t="s">
        <v>275</v>
      </c>
      <c r="O177" s="136" t="s">
        <v>329</v>
      </c>
      <c r="P177" s="130">
        <v>1450050.77</v>
      </c>
      <c r="Q177" s="130">
        <v>0</v>
      </c>
      <c r="R177" s="130">
        <v>0</v>
      </c>
      <c r="S177" s="130">
        <f t="shared" si="18"/>
        <v>1450050.77</v>
      </c>
      <c r="T177" s="130">
        <f t="shared" si="15"/>
        <v>3812.4116471670827</v>
      </c>
      <c r="U177" s="130">
        <v>5324.6459839621402</v>
      </c>
    </row>
    <row r="178" spans="1:21" s="64" customFormat="1" ht="36" customHeight="1" x14ac:dyDescent="0.9">
      <c r="A178" s="64">
        <v>1</v>
      </c>
      <c r="B178" s="96">
        <f>SUBTOTAL(103,$A$16:A178)</f>
        <v>161</v>
      </c>
      <c r="C178" s="94" t="s">
        <v>417</v>
      </c>
      <c r="D178" s="138">
        <v>1972</v>
      </c>
      <c r="E178" s="138"/>
      <c r="F178" s="167" t="s">
        <v>273</v>
      </c>
      <c r="G178" s="138">
        <v>5</v>
      </c>
      <c r="H178" s="138">
        <v>8</v>
      </c>
      <c r="I178" s="130">
        <v>6552.3399999999992</v>
      </c>
      <c r="J178" s="130">
        <v>6023.94</v>
      </c>
      <c r="K178" s="130">
        <v>5588.4599999999991</v>
      </c>
      <c r="L178" s="139">
        <v>285</v>
      </c>
      <c r="M178" s="138" t="s">
        <v>271</v>
      </c>
      <c r="N178" s="138" t="s">
        <v>275</v>
      </c>
      <c r="O178" s="136" t="s">
        <v>336</v>
      </c>
      <c r="P178" s="130">
        <v>9474410.2199999988</v>
      </c>
      <c r="Q178" s="130">
        <v>0</v>
      </c>
      <c r="R178" s="130">
        <v>0</v>
      </c>
      <c r="S178" s="130">
        <f t="shared" si="18"/>
        <v>9474410.2199999988</v>
      </c>
      <c r="T178" s="130">
        <f t="shared" si="15"/>
        <v>1445.9582713961729</v>
      </c>
      <c r="U178" s="130">
        <v>1865.5808642408667</v>
      </c>
    </row>
    <row r="179" spans="1:21" s="64" customFormat="1" ht="36" customHeight="1" x14ac:dyDescent="0.9">
      <c r="A179" s="64">
        <v>1</v>
      </c>
      <c r="B179" s="96">
        <f>SUBTOTAL(103,$A$16:A179)</f>
        <v>162</v>
      </c>
      <c r="C179" s="94" t="s">
        <v>1220</v>
      </c>
      <c r="D179" s="138">
        <v>1958</v>
      </c>
      <c r="E179" s="138"/>
      <c r="F179" s="167" t="s">
        <v>273</v>
      </c>
      <c r="G179" s="138">
        <v>2</v>
      </c>
      <c r="H179" s="138">
        <v>2</v>
      </c>
      <c r="I179" s="130">
        <v>731.63</v>
      </c>
      <c r="J179" s="130">
        <v>675.13</v>
      </c>
      <c r="K179" s="130">
        <v>675.13</v>
      </c>
      <c r="L179" s="139">
        <v>28</v>
      </c>
      <c r="M179" s="138" t="s">
        <v>271</v>
      </c>
      <c r="N179" s="138" t="s">
        <v>272</v>
      </c>
      <c r="O179" s="136" t="s">
        <v>274</v>
      </c>
      <c r="P179" s="130">
        <v>1414530.3299999998</v>
      </c>
      <c r="Q179" s="130">
        <v>0</v>
      </c>
      <c r="R179" s="130">
        <v>0</v>
      </c>
      <c r="S179" s="130">
        <f t="shared" si="18"/>
        <v>1414530.3299999998</v>
      </c>
      <c r="T179" s="130">
        <f t="shared" si="15"/>
        <v>1933.3957464838782</v>
      </c>
      <c r="U179" s="130">
        <v>3697.55</v>
      </c>
    </row>
    <row r="180" spans="1:21" s="64" customFormat="1" ht="36" customHeight="1" x14ac:dyDescent="0.9">
      <c r="A180" s="64">
        <v>1</v>
      </c>
      <c r="B180" s="96">
        <f>SUBTOTAL(103,$A$16:A180)</f>
        <v>163</v>
      </c>
      <c r="C180" s="94" t="s">
        <v>1221</v>
      </c>
      <c r="D180" s="138">
        <v>1963</v>
      </c>
      <c r="E180" s="138"/>
      <c r="F180" s="167" t="s">
        <v>273</v>
      </c>
      <c r="G180" s="138">
        <v>3</v>
      </c>
      <c r="H180" s="138">
        <v>2</v>
      </c>
      <c r="I180" s="130">
        <v>720.17000000000007</v>
      </c>
      <c r="J180" s="130">
        <v>519.07000000000005</v>
      </c>
      <c r="K180" s="130">
        <v>460.94000000000005</v>
      </c>
      <c r="L180" s="139">
        <v>18</v>
      </c>
      <c r="M180" s="138" t="s">
        <v>271</v>
      </c>
      <c r="N180" s="138" t="s">
        <v>272</v>
      </c>
      <c r="O180" s="136" t="s">
        <v>274</v>
      </c>
      <c r="P180" s="130">
        <v>1572592.28</v>
      </c>
      <c r="Q180" s="130">
        <v>0</v>
      </c>
      <c r="R180" s="130">
        <v>0</v>
      </c>
      <c r="S180" s="130">
        <f t="shared" si="18"/>
        <v>1572592.28</v>
      </c>
      <c r="T180" s="130">
        <f t="shared" si="15"/>
        <v>2183.6403626921419</v>
      </c>
      <c r="U180" s="130">
        <v>2782.521663218407</v>
      </c>
    </row>
    <row r="181" spans="1:21" s="64" customFormat="1" ht="36" customHeight="1" x14ac:dyDescent="0.9">
      <c r="A181" s="64">
        <v>1</v>
      </c>
      <c r="B181" s="96">
        <f>SUBTOTAL(103,$A$16:A181)</f>
        <v>164</v>
      </c>
      <c r="C181" s="94" t="s">
        <v>1222</v>
      </c>
      <c r="D181" s="138">
        <v>1952</v>
      </c>
      <c r="E181" s="138"/>
      <c r="F181" s="167" t="s">
        <v>273</v>
      </c>
      <c r="G181" s="138">
        <v>3</v>
      </c>
      <c r="H181" s="138">
        <v>3</v>
      </c>
      <c r="I181" s="130">
        <v>1798.15</v>
      </c>
      <c r="J181" s="130">
        <v>1637.95</v>
      </c>
      <c r="K181" s="130">
        <v>1637.95</v>
      </c>
      <c r="L181" s="139">
        <v>58</v>
      </c>
      <c r="M181" s="138" t="s">
        <v>271</v>
      </c>
      <c r="N181" s="138" t="s">
        <v>275</v>
      </c>
      <c r="O181" s="136" t="s">
        <v>1052</v>
      </c>
      <c r="P181" s="130">
        <v>2050106.0299999998</v>
      </c>
      <c r="Q181" s="130">
        <v>0</v>
      </c>
      <c r="R181" s="130">
        <v>0</v>
      </c>
      <c r="S181" s="130">
        <f t="shared" si="18"/>
        <v>2050106.0299999998</v>
      </c>
      <c r="T181" s="130">
        <f t="shared" si="15"/>
        <v>1140.1195840169062</v>
      </c>
      <c r="U181" s="130">
        <v>4681.0629758362766</v>
      </c>
    </row>
    <row r="182" spans="1:21" s="64" customFormat="1" ht="36" customHeight="1" x14ac:dyDescent="0.9">
      <c r="A182" s="64">
        <v>1</v>
      </c>
      <c r="B182" s="96">
        <f>SUBTOTAL(103,$A$16:A182)</f>
        <v>165</v>
      </c>
      <c r="C182" s="94" t="s">
        <v>1223</v>
      </c>
      <c r="D182" s="138">
        <v>1989</v>
      </c>
      <c r="E182" s="138"/>
      <c r="F182" s="167" t="s">
        <v>273</v>
      </c>
      <c r="G182" s="138">
        <v>9</v>
      </c>
      <c r="H182" s="138">
        <v>2</v>
      </c>
      <c r="I182" s="130">
        <v>4429.1000000000004</v>
      </c>
      <c r="J182" s="130">
        <v>3931.9</v>
      </c>
      <c r="K182" s="130">
        <v>3418.9</v>
      </c>
      <c r="L182" s="139">
        <v>175</v>
      </c>
      <c r="M182" s="138" t="s">
        <v>271</v>
      </c>
      <c r="N182" s="138" t="s">
        <v>275</v>
      </c>
      <c r="O182" s="136" t="s">
        <v>333</v>
      </c>
      <c r="P182" s="130">
        <v>4006501.16</v>
      </c>
      <c r="Q182" s="130">
        <v>0</v>
      </c>
      <c r="R182" s="130">
        <v>0</v>
      </c>
      <c r="S182" s="130">
        <f t="shared" si="18"/>
        <v>4006501.16</v>
      </c>
      <c r="T182" s="130">
        <f t="shared" si="15"/>
        <v>904.58584362511567</v>
      </c>
      <c r="U182" s="130">
        <v>1015.2414711792462</v>
      </c>
    </row>
    <row r="183" spans="1:21" s="64" customFormat="1" ht="36" customHeight="1" x14ac:dyDescent="0.9">
      <c r="A183" s="64">
        <v>1</v>
      </c>
      <c r="B183" s="96">
        <f>SUBTOTAL(103,$A$16:A183)</f>
        <v>166</v>
      </c>
      <c r="C183" s="94" t="s">
        <v>1224</v>
      </c>
      <c r="D183" s="138">
        <v>1964</v>
      </c>
      <c r="E183" s="138"/>
      <c r="F183" s="167" t="s">
        <v>273</v>
      </c>
      <c r="G183" s="138">
        <v>2</v>
      </c>
      <c r="H183" s="138">
        <v>2</v>
      </c>
      <c r="I183" s="130">
        <v>634.5</v>
      </c>
      <c r="J183" s="130">
        <v>384.9</v>
      </c>
      <c r="K183" s="130">
        <v>253.53999999999996</v>
      </c>
      <c r="L183" s="139">
        <v>27</v>
      </c>
      <c r="M183" s="138" t="s">
        <v>271</v>
      </c>
      <c r="N183" s="138" t="s">
        <v>275</v>
      </c>
      <c r="O183" s="136" t="s">
        <v>334</v>
      </c>
      <c r="P183" s="130">
        <v>211998.06</v>
      </c>
      <c r="Q183" s="130">
        <v>0</v>
      </c>
      <c r="R183" s="130">
        <v>0</v>
      </c>
      <c r="S183" s="130">
        <f t="shared" si="18"/>
        <v>211998.06</v>
      </c>
      <c r="T183" s="130">
        <f t="shared" si="15"/>
        <v>334.11829787234041</v>
      </c>
      <c r="U183" s="130">
        <v>2186.3102789598111</v>
      </c>
    </row>
    <row r="184" spans="1:21" s="64" customFormat="1" ht="36" customHeight="1" x14ac:dyDescent="0.9">
      <c r="A184" s="64">
        <v>1</v>
      </c>
      <c r="B184" s="96">
        <f>SUBTOTAL(103,$A$16:A184)</f>
        <v>167</v>
      </c>
      <c r="C184" s="94" t="s">
        <v>1225</v>
      </c>
      <c r="D184" s="138">
        <v>1971</v>
      </c>
      <c r="E184" s="138"/>
      <c r="F184" s="167" t="s">
        <v>273</v>
      </c>
      <c r="G184" s="138">
        <v>5</v>
      </c>
      <c r="H184" s="138">
        <v>6</v>
      </c>
      <c r="I184" s="130">
        <v>5698.2</v>
      </c>
      <c r="J184" s="130">
        <v>4475.3999999999996</v>
      </c>
      <c r="K184" s="130">
        <v>4355.8399999999992</v>
      </c>
      <c r="L184" s="139">
        <v>172</v>
      </c>
      <c r="M184" s="138" t="s">
        <v>271</v>
      </c>
      <c r="N184" s="138" t="s">
        <v>275</v>
      </c>
      <c r="O184" s="136" t="s">
        <v>336</v>
      </c>
      <c r="P184" s="130">
        <v>2878164.01</v>
      </c>
      <c r="Q184" s="130">
        <v>0</v>
      </c>
      <c r="R184" s="130">
        <v>0</v>
      </c>
      <c r="S184" s="130">
        <f t="shared" si="18"/>
        <v>2878164.01</v>
      </c>
      <c r="T184" s="130">
        <f t="shared" si="15"/>
        <v>505.1005598259099</v>
      </c>
      <c r="U184" s="130">
        <v>1418.4320627566599</v>
      </c>
    </row>
    <row r="185" spans="1:21" s="64" customFormat="1" ht="36" customHeight="1" x14ac:dyDescent="0.9">
      <c r="A185" s="64">
        <v>1</v>
      </c>
      <c r="B185" s="96">
        <f>SUBTOTAL(103,$A$16:A185)</f>
        <v>168</v>
      </c>
      <c r="C185" s="94" t="s">
        <v>1226</v>
      </c>
      <c r="D185" s="138">
        <v>1991</v>
      </c>
      <c r="E185" s="138"/>
      <c r="F185" s="167" t="s">
        <v>293</v>
      </c>
      <c r="G185" s="138">
        <v>9</v>
      </c>
      <c r="H185" s="138">
        <v>2</v>
      </c>
      <c r="I185" s="130">
        <v>4200.6000000000004</v>
      </c>
      <c r="J185" s="130">
        <v>3780.6</v>
      </c>
      <c r="K185" s="130">
        <v>3265.6</v>
      </c>
      <c r="L185" s="139">
        <v>172</v>
      </c>
      <c r="M185" s="138" t="s">
        <v>271</v>
      </c>
      <c r="N185" s="138" t="s">
        <v>275</v>
      </c>
      <c r="O185" s="136" t="s">
        <v>329</v>
      </c>
      <c r="P185" s="130">
        <v>4006501.15</v>
      </c>
      <c r="Q185" s="130">
        <v>0</v>
      </c>
      <c r="R185" s="130">
        <v>0</v>
      </c>
      <c r="S185" s="130">
        <f t="shared" si="18"/>
        <v>4006501.15</v>
      </c>
      <c r="T185" s="130">
        <f t="shared" si="15"/>
        <v>953.79258915393029</v>
      </c>
      <c r="U185" s="130">
        <v>1070.4675522544399</v>
      </c>
    </row>
    <row r="186" spans="1:21" s="64" customFormat="1" ht="36" customHeight="1" x14ac:dyDescent="0.9">
      <c r="A186" s="64">
        <v>1</v>
      </c>
      <c r="B186" s="96">
        <f>SUBTOTAL(103,$A$16:A186)</f>
        <v>169</v>
      </c>
      <c r="C186" s="94" t="s">
        <v>1227</v>
      </c>
      <c r="D186" s="138">
        <v>1963</v>
      </c>
      <c r="E186" s="138"/>
      <c r="F186" s="167" t="s">
        <v>273</v>
      </c>
      <c r="G186" s="138">
        <v>4</v>
      </c>
      <c r="H186" s="138">
        <v>4</v>
      </c>
      <c r="I186" s="130">
        <v>2581.1</v>
      </c>
      <c r="J186" s="130">
        <v>2477.4</v>
      </c>
      <c r="K186" s="130">
        <v>2303.4</v>
      </c>
      <c r="L186" s="139">
        <v>110</v>
      </c>
      <c r="M186" s="138" t="s">
        <v>271</v>
      </c>
      <c r="N186" s="138" t="s">
        <v>275</v>
      </c>
      <c r="O186" s="136" t="s">
        <v>1052</v>
      </c>
      <c r="P186" s="130">
        <v>3186819.12</v>
      </c>
      <c r="Q186" s="130">
        <v>0</v>
      </c>
      <c r="R186" s="130">
        <v>0</v>
      </c>
      <c r="S186" s="130">
        <f t="shared" si="18"/>
        <v>3186819.12</v>
      </c>
      <c r="T186" s="130">
        <f t="shared" si="15"/>
        <v>1234.6747975669289</v>
      </c>
      <c r="U186" s="130">
        <v>2753.19</v>
      </c>
    </row>
    <row r="187" spans="1:21" s="64" customFormat="1" ht="36" customHeight="1" x14ac:dyDescent="0.9">
      <c r="A187" s="64">
        <v>1</v>
      </c>
      <c r="B187" s="96">
        <f>SUBTOTAL(103,$A$16:A187)</f>
        <v>170</v>
      </c>
      <c r="C187" s="94" t="s">
        <v>1228</v>
      </c>
      <c r="D187" s="138">
        <v>1959</v>
      </c>
      <c r="E187" s="138"/>
      <c r="F187" s="167" t="s">
        <v>273</v>
      </c>
      <c r="G187" s="138">
        <v>2</v>
      </c>
      <c r="H187" s="138">
        <v>2</v>
      </c>
      <c r="I187" s="130">
        <v>598.02</v>
      </c>
      <c r="J187" s="130">
        <v>552.82000000000005</v>
      </c>
      <c r="K187" s="130">
        <v>452.65</v>
      </c>
      <c r="L187" s="139">
        <v>31</v>
      </c>
      <c r="M187" s="138" t="s">
        <v>271</v>
      </c>
      <c r="N187" s="138" t="s">
        <v>275</v>
      </c>
      <c r="O187" s="136" t="s">
        <v>336</v>
      </c>
      <c r="P187" s="130">
        <v>2490798.6</v>
      </c>
      <c r="Q187" s="130">
        <v>0</v>
      </c>
      <c r="R187" s="130">
        <v>0</v>
      </c>
      <c r="S187" s="130">
        <f t="shared" si="18"/>
        <v>2490798.6</v>
      </c>
      <c r="T187" s="130">
        <f t="shared" si="15"/>
        <v>4165.0757499749179</v>
      </c>
      <c r="U187" s="130">
        <v>4822.0534764723589</v>
      </c>
    </row>
    <row r="188" spans="1:21" s="64" customFormat="1" ht="36" customHeight="1" x14ac:dyDescent="0.9">
      <c r="A188" s="64">
        <v>1</v>
      </c>
      <c r="B188" s="96">
        <f>SUBTOTAL(103,$A$16:A188)</f>
        <v>171</v>
      </c>
      <c r="C188" s="94" t="s">
        <v>1229</v>
      </c>
      <c r="D188" s="138">
        <v>1959</v>
      </c>
      <c r="E188" s="138"/>
      <c r="F188" s="167" t="s">
        <v>273</v>
      </c>
      <c r="G188" s="138">
        <v>4</v>
      </c>
      <c r="H188" s="138">
        <v>2</v>
      </c>
      <c r="I188" s="130">
        <v>1378.3</v>
      </c>
      <c r="J188" s="130">
        <v>1280.9000000000001</v>
      </c>
      <c r="K188" s="130">
        <v>1171.7</v>
      </c>
      <c r="L188" s="139">
        <v>83</v>
      </c>
      <c r="M188" s="138" t="s">
        <v>271</v>
      </c>
      <c r="N188" s="138" t="s">
        <v>275</v>
      </c>
      <c r="O188" s="136" t="s">
        <v>336</v>
      </c>
      <c r="P188" s="130">
        <v>464475.87</v>
      </c>
      <c r="Q188" s="130">
        <v>0</v>
      </c>
      <c r="R188" s="130">
        <v>0</v>
      </c>
      <c r="S188" s="130">
        <f t="shared" si="18"/>
        <v>464475.87</v>
      </c>
      <c r="T188" s="130">
        <f t="shared" si="15"/>
        <v>336.99185228179641</v>
      </c>
      <c r="U188" s="130">
        <v>673.78</v>
      </c>
    </row>
    <row r="189" spans="1:21" s="64" customFormat="1" ht="36" customHeight="1" x14ac:dyDescent="0.9">
      <c r="A189" s="64">
        <v>1</v>
      </c>
      <c r="B189" s="96">
        <f>SUBTOTAL(103,$A$16:A189)</f>
        <v>172</v>
      </c>
      <c r="C189" s="94" t="s">
        <v>1230</v>
      </c>
      <c r="D189" s="138">
        <v>1963</v>
      </c>
      <c r="E189" s="138"/>
      <c r="F189" s="167" t="s">
        <v>273</v>
      </c>
      <c r="G189" s="138">
        <v>2</v>
      </c>
      <c r="H189" s="138">
        <v>2</v>
      </c>
      <c r="I189" s="130">
        <v>672.43</v>
      </c>
      <c r="J189" s="130">
        <v>623.04</v>
      </c>
      <c r="K189" s="130">
        <v>623.04</v>
      </c>
      <c r="L189" s="139">
        <v>42</v>
      </c>
      <c r="M189" s="138" t="s">
        <v>271</v>
      </c>
      <c r="N189" s="138" t="s">
        <v>275</v>
      </c>
      <c r="O189" s="136" t="s">
        <v>334</v>
      </c>
      <c r="P189" s="130">
        <v>198184.86</v>
      </c>
      <c r="Q189" s="130">
        <v>0</v>
      </c>
      <c r="R189" s="130">
        <v>0</v>
      </c>
      <c r="S189" s="130">
        <f t="shared" si="18"/>
        <v>198184.86</v>
      </c>
      <c r="T189" s="130">
        <f t="shared" si="15"/>
        <v>294.72935472837321</v>
      </c>
      <c r="U189" s="130">
        <v>673.78</v>
      </c>
    </row>
    <row r="190" spans="1:21" s="64" customFormat="1" ht="36" customHeight="1" x14ac:dyDescent="0.9">
      <c r="A190" s="64">
        <v>1</v>
      </c>
      <c r="B190" s="96">
        <f>SUBTOTAL(103,$A$16:A190)</f>
        <v>173</v>
      </c>
      <c r="C190" s="94" t="s">
        <v>1231</v>
      </c>
      <c r="D190" s="138">
        <v>1989</v>
      </c>
      <c r="E190" s="138"/>
      <c r="F190" s="167" t="s">
        <v>273</v>
      </c>
      <c r="G190" s="138">
        <v>9</v>
      </c>
      <c r="H190" s="138">
        <v>1</v>
      </c>
      <c r="I190" s="130">
        <v>4090.1</v>
      </c>
      <c r="J190" s="130">
        <v>3277.11</v>
      </c>
      <c r="K190" s="130">
        <v>3277.11</v>
      </c>
      <c r="L190" s="139">
        <v>159</v>
      </c>
      <c r="M190" s="138" t="s">
        <v>271</v>
      </c>
      <c r="N190" s="138" t="s">
        <v>275</v>
      </c>
      <c r="O190" s="136" t="s">
        <v>1418</v>
      </c>
      <c r="P190" s="130">
        <v>2028570.37</v>
      </c>
      <c r="Q190" s="130">
        <v>0</v>
      </c>
      <c r="R190" s="130">
        <v>0</v>
      </c>
      <c r="S190" s="130">
        <f t="shared" si="18"/>
        <v>2028570.37</v>
      </c>
      <c r="T190" s="130">
        <f t="shared" si="15"/>
        <v>495.97084912349334</v>
      </c>
      <c r="U190" s="130">
        <v>549.69389501479179</v>
      </c>
    </row>
    <row r="191" spans="1:21" s="64" customFormat="1" ht="36" customHeight="1" x14ac:dyDescent="0.9">
      <c r="A191" s="64">
        <v>1</v>
      </c>
      <c r="B191" s="96">
        <f>SUBTOTAL(103,$A$16:A191)</f>
        <v>174</v>
      </c>
      <c r="C191" s="94" t="s">
        <v>1232</v>
      </c>
      <c r="D191" s="138">
        <v>1992</v>
      </c>
      <c r="E191" s="138"/>
      <c r="F191" s="167" t="s">
        <v>273</v>
      </c>
      <c r="G191" s="138">
        <v>9</v>
      </c>
      <c r="H191" s="138">
        <v>1</v>
      </c>
      <c r="I191" s="130">
        <v>3107.8</v>
      </c>
      <c r="J191" s="130">
        <v>2755.2</v>
      </c>
      <c r="K191" s="130">
        <v>2755.2</v>
      </c>
      <c r="L191" s="139">
        <v>117</v>
      </c>
      <c r="M191" s="138" t="s">
        <v>271</v>
      </c>
      <c r="N191" s="138" t="s">
        <v>275</v>
      </c>
      <c r="O191" s="136" t="s">
        <v>1419</v>
      </c>
      <c r="P191" s="130">
        <v>2028570.37</v>
      </c>
      <c r="Q191" s="130">
        <v>0</v>
      </c>
      <c r="R191" s="130">
        <v>0</v>
      </c>
      <c r="S191" s="130">
        <f t="shared" si="18"/>
        <v>2028570.37</v>
      </c>
      <c r="T191" s="130">
        <f t="shared" si="15"/>
        <v>652.73517279104192</v>
      </c>
      <c r="U191" s="130">
        <v>723.43876697342171</v>
      </c>
    </row>
    <row r="192" spans="1:21" s="64" customFormat="1" ht="36" customHeight="1" x14ac:dyDescent="0.9">
      <c r="A192" s="64">
        <v>1</v>
      </c>
      <c r="B192" s="96">
        <f>SUBTOTAL(103,$A$16:A192)</f>
        <v>175</v>
      </c>
      <c r="C192" s="94" t="s">
        <v>1233</v>
      </c>
      <c r="D192" s="138">
        <v>1992</v>
      </c>
      <c r="E192" s="138"/>
      <c r="F192" s="167" t="s">
        <v>319</v>
      </c>
      <c r="G192" s="138">
        <v>9</v>
      </c>
      <c r="H192" s="138">
        <v>4</v>
      </c>
      <c r="I192" s="130">
        <v>8440.4</v>
      </c>
      <c r="J192" s="130">
        <v>7673.5</v>
      </c>
      <c r="K192" s="130">
        <v>7237.9</v>
      </c>
      <c r="L192" s="139">
        <v>308</v>
      </c>
      <c r="M192" s="138" t="s">
        <v>271</v>
      </c>
      <c r="N192" s="138" t="s">
        <v>275</v>
      </c>
      <c r="O192" s="136" t="s">
        <v>1420</v>
      </c>
      <c r="P192" s="130">
        <v>8774604.5999999996</v>
      </c>
      <c r="Q192" s="130">
        <v>0</v>
      </c>
      <c r="R192" s="130">
        <v>0</v>
      </c>
      <c r="S192" s="130">
        <f t="shared" si="18"/>
        <v>8774604.5999999996</v>
      </c>
      <c r="T192" s="130">
        <f t="shared" si="15"/>
        <v>1039.5958248424245</v>
      </c>
      <c r="U192" s="130">
        <v>1065.4959480593336</v>
      </c>
    </row>
    <row r="193" spans="1:21" s="64" customFormat="1" ht="36" customHeight="1" x14ac:dyDescent="0.9">
      <c r="A193" s="64">
        <v>1</v>
      </c>
      <c r="B193" s="96">
        <f>SUBTOTAL(103,$A$16:A193)</f>
        <v>176</v>
      </c>
      <c r="C193" s="94" t="s">
        <v>1351</v>
      </c>
      <c r="D193" s="138">
        <v>1968</v>
      </c>
      <c r="E193" s="138"/>
      <c r="F193" s="167" t="s">
        <v>273</v>
      </c>
      <c r="G193" s="138">
        <v>5</v>
      </c>
      <c r="H193" s="138">
        <v>4</v>
      </c>
      <c r="I193" s="130">
        <v>3571.09</v>
      </c>
      <c r="J193" s="130">
        <v>3241.39</v>
      </c>
      <c r="K193" s="130">
        <v>3219.99</v>
      </c>
      <c r="L193" s="139">
        <v>154</v>
      </c>
      <c r="M193" s="138" t="s">
        <v>271</v>
      </c>
      <c r="N193" s="138" t="s">
        <v>275</v>
      </c>
      <c r="O193" s="136" t="s">
        <v>335</v>
      </c>
      <c r="P193" s="130">
        <v>3013015.67</v>
      </c>
      <c r="Q193" s="130">
        <v>0</v>
      </c>
      <c r="R193" s="130">
        <v>0</v>
      </c>
      <c r="S193" s="130">
        <f t="shared" si="18"/>
        <v>3013015.67</v>
      </c>
      <c r="T193" s="130">
        <f t="shared" si="15"/>
        <v>843.72437267052908</v>
      </c>
      <c r="U193" s="130">
        <v>2753.19</v>
      </c>
    </row>
    <row r="194" spans="1:21" s="64" customFormat="1" ht="36" customHeight="1" x14ac:dyDescent="0.9">
      <c r="A194" s="64">
        <v>1</v>
      </c>
      <c r="B194" s="96">
        <f>SUBTOTAL(103,$A$16:A194)</f>
        <v>177</v>
      </c>
      <c r="C194" s="94" t="s">
        <v>1364</v>
      </c>
      <c r="D194" s="138">
        <v>1958</v>
      </c>
      <c r="E194" s="138"/>
      <c r="F194" s="167" t="s">
        <v>273</v>
      </c>
      <c r="G194" s="138">
        <v>4</v>
      </c>
      <c r="H194" s="138">
        <v>4</v>
      </c>
      <c r="I194" s="130">
        <v>5856.4</v>
      </c>
      <c r="J194" s="130">
        <v>3235.1</v>
      </c>
      <c r="K194" s="130">
        <v>3073.4</v>
      </c>
      <c r="L194" s="139">
        <v>86</v>
      </c>
      <c r="M194" s="138" t="s">
        <v>271</v>
      </c>
      <c r="N194" s="138" t="s">
        <v>275</v>
      </c>
      <c r="O194" s="136" t="s">
        <v>1432</v>
      </c>
      <c r="P194" s="130">
        <v>13530548.279999999</v>
      </c>
      <c r="Q194" s="130">
        <v>0</v>
      </c>
      <c r="R194" s="130">
        <v>0</v>
      </c>
      <c r="S194" s="130">
        <f t="shared" si="18"/>
        <v>13530548.279999999</v>
      </c>
      <c r="T194" s="130">
        <f t="shared" si="15"/>
        <v>2310.3866334266786</v>
      </c>
      <c r="U194" s="130">
        <v>3097.9337408646952</v>
      </c>
    </row>
    <row r="195" spans="1:21" s="64" customFormat="1" ht="36" customHeight="1" x14ac:dyDescent="0.9">
      <c r="A195" s="64">
        <v>1</v>
      </c>
      <c r="B195" s="96">
        <f>SUBTOTAL(103,$A$16:A195)</f>
        <v>178</v>
      </c>
      <c r="C195" s="94" t="s">
        <v>1365</v>
      </c>
      <c r="D195" s="138">
        <v>1968</v>
      </c>
      <c r="E195" s="138"/>
      <c r="F195" s="167" t="s">
        <v>273</v>
      </c>
      <c r="G195" s="138">
        <v>2</v>
      </c>
      <c r="H195" s="138">
        <v>2</v>
      </c>
      <c r="I195" s="130">
        <v>610.4</v>
      </c>
      <c r="J195" s="130">
        <v>567</v>
      </c>
      <c r="K195" s="130">
        <v>458.2</v>
      </c>
      <c r="L195" s="139">
        <v>29</v>
      </c>
      <c r="M195" s="138" t="s">
        <v>271</v>
      </c>
      <c r="N195" s="138" t="s">
        <v>275</v>
      </c>
      <c r="O195" s="136" t="s">
        <v>1432</v>
      </c>
      <c r="P195" s="130">
        <v>3278000</v>
      </c>
      <c r="Q195" s="130">
        <v>0</v>
      </c>
      <c r="R195" s="130">
        <v>0</v>
      </c>
      <c r="S195" s="130">
        <f t="shared" si="18"/>
        <v>3278000</v>
      </c>
      <c r="T195" s="130">
        <f t="shared" si="15"/>
        <v>5370.2490170380079</v>
      </c>
      <c r="U195" s="130">
        <v>5843.4164482306687</v>
      </c>
    </row>
    <row r="196" spans="1:21" s="64" customFormat="1" ht="36" customHeight="1" x14ac:dyDescent="0.9">
      <c r="A196" s="64">
        <v>1</v>
      </c>
      <c r="B196" s="96">
        <f>SUBTOTAL(103,$A$16:A196)</f>
        <v>179</v>
      </c>
      <c r="C196" s="94" t="s">
        <v>1366</v>
      </c>
      <c r="D196" s="138">
        <v>1958</v>
      </c>
      <c r="E196" s="138"/>
      <c r="F196" s="167" t="s">
        <v>273</v>
      </c>
      <c r="G196" s="138">
        <v>2</v>
      </c>
      <c r="H196" s="138">
        <v>2</v>
      </c>
      <c r="I196" s="130">
        <v>822.2</v>
      </c>
      <c r="J196" s="130">
        <v>822.2</v>
      </c>
      <c r="K196" s="130">
        <v>771.5</v>
      </c>
      <c r="L196" s="139">
        <v>22</v>
      </c>
      <c r="M196" s="138" t="s">
        <v>271</v>
      </c>
      <c r="N196" s="138" t="s">
        <v>275</v>
      </c>
      <c r="O196" s="136" t="s">
        <v>1432</v>
      </c>
      <c r="P196" s="130">
        <v>3657500</v>
      </c>
      <c r="Q196" s="130">
        <v>0</v>
      </c>
      <c r="R196" s="130">
        <v>0</v>
      </c>
      <c r="S196" s="130">
        <f t="shared" si="18"/>
        <v>3657500</v>
      </c>
      <c r="T196" s="130">
        <f t="shared" si="15"/>
        <v>4448.4310386767211</v>
      </c>
      <c r="U196" s="130">
        <v>4889.6021649233762</v>
      </c>
    </row>
    <row r="197" spans="1:21" s="64" customFormat="1" ht="36" customHeight="1" x14ac:dyDescent="0.9">
      <c r="A197" s="64">
        <v>1</v>
      </c>
      <c r="B197" s="96">
        <f>SUBTOTAL(103,$A$16:A197)</f>
        <v>180</v>
      </c>
      <c r="C197" s="94" t="s">
        <v>1367</v>
      </c>
      <c r="D197" s="138">
        <v>1959</v>
      </c>
      <c r="E197" s="138"/>
      <c r="F197" s="167" t="s">
        <v>273</v>
      </c>
      <c r="G197" s="138">
        <v>2</v>
      </c>
      <c r="H197" s="138">
        <v>1</v>
      </c>
      <c r="I197" s="130">
        <v>310.3</v>
      </c>
      <c r="J197" s="130">
        <v>310.3</v>
      </c>
      <c r="K197" s="130">
        <v>270.3</v>
      </c>
      <c r="L197" s="139">
        <v>10</v>
      </c>
      <c r="M197" s="138" t="s">
        <v>271</v>
      </c>
      <c r="N197" s="138" t="s">
        <v>275</v>
      </c>
      <c r="O197" s="136" t="s">
        <v>1432</v>
      </c>
      <c r="P197" s="130">
        <v>1353000</v>
      </c>
      <c r="Q197" s="130">
        <v>0</v>
      </c>
      <c r="R197" s="130">
        <v>0</v>
      </c>
      <c r="S197" s="130">
        <f t="shared" si="18"/>
        <v>1353000</v>
      </c>
      <c r="T197" s="130">
        <f t="shared" si="15"/>
        <v>4360.2964872703833</v>
      </c>
      <c r="U197" s="130">
        <v>4792.7269094424746</v>
      </c>
    </row>
    <row r="198" spans="1:21" s="64" customFormat="1" ht="36" customHeight="1" x14ac:dyDescent="0.9">
      <c r="A198" s="64">
        <v>1</v>
      </c>
      <c r="B198" s="96">
        <f>SUBTOTAL(103,$A$16:A198)</f>
        <v>181</v>
      </c>
      <c r="C198" s="94" t="s">
        <v>1368</v>
      </c>
      <c r="D198" s="138">
        <v>1959</v>
      </c>
      <c r="E198" s="138"/>
      <c r="F198" s="167" t="s">
        <v>273</v>
      </c>
      <c r="G198" s="138">
        <v>2</v>
      </c>
      <c r="H198" s="138">
        <v>1</v>
      </c>
      <c r="I198" s="130">
        <v>287</v>
      </c>
      <c r="J198" s="130">
        <v>287</v>
      </c>
      <c r="K198" s="130">
        <v>158.19999999999999</v>
      </c>
      <c r="L198" s="139">
        <v>18</v>
      </c>
      <c r="M198" s="138" t="s">
        <v>271</v>
      </c>
      <c r="N198" s="138" t="s">
        <v>272</v>
      </c>
      <c r="O198" s="136" t="s">
        <v>274</v>
      </c>
      <c r="P198" s="130">
        <v>1391500</v>
      </c>
      <c r="Q198" s="130">
        <v>0</v>
      </c>
      <c r="R198" s="130">
        <v>0</v>
      </c>
      <c r="S198" s="130">
        <f t="shared" si="18"/>
        <v>1391500</v>
      </c>
      <c r="T198" s="130">
        <f t="shared" si="15"/>
        <v>4848.4320557491292</v>
      </c>
      <c r="U198" s="130">
        <v>5329.2731010452962</v>
      </c>
    </row>
    <row r="199" spans="1:21" s="64" customFormat="1" ht="36" customHeight="1" x14ac:dyDescent="0.9">
      <c r="A199" s="64">
        <v>1</v>
      </c>
      <c r="B199" s="96">
        <f>SUBTOTAL(103,$A$16:A199)</f>
        <v>182</v>
      </c>
      <c r="C199" s="94" t="s">
        <v>1648</v>
      </c>
      <c r="D199" s="138">
        <v>1952</v>
      </c>
      <c r="E199" s="138"/>
      <c r="F199" s="167" t="s">
        <v>1421</v>
      </c>
      <c r="G199" s="138">
        <v>2</v>
      </c>
      <c r="H199" s="138">
        <v>2</v>
      </c>
      <c r="I199" s="130">
        <v>644.12</v>
      </c>
      <c r="J199" s="130">
        <v>596.87</v>
      </c>
      <c r="K199" s="130">
        <v>495.28</v>
      </c>
      <c r="L199" s="139">
        <v>30</v>
      </c>
      <c r="M199" s="138" t="s">
        <v>271</v>
      </c>
      <c r="N199" s="138" t="s">
        <v>275</v>
      </c>
      <c r="O199" s="136" t="s">
        <v>1675</v>
      </c>
      <c r="P199" s="130">
        <v>2365849.39</v>
      </c>
      <c r="Q199" s="130">
        <v>0</v>
      </c>
      <c r="R199" s="130">
        <v>0</v>
      </c>
      <c r="S199" s="130">
        <f t="shared" ref="S199:S201" si="19">P199-R199-Q199</f>
        <v>2365849.39</v>
      </c>
      <c r="T199" s="130">
        <f t="shared" si="15"/>
        <v>3672.994768055642</v>
      </c>
      <c r="U199" s="130">
        <v>5912.9351673601186</v>
      </c>
    </row>
    <row r="200" spans="1:21" s="64" customFormat="1" ht="36" customHeight="1" x14ac:dyDescent="0.9">
      <c r="A200" s="64">
        <v>1</v>
      </c>
      <c r="B200" s="96">
        <f>SUBTOTAL(103,$A$16:A200)</f>
        <v>183</v>
      </c>
      <c r="C200" s="94" t="s">
        <v>1660</v>
      </c>
      <c r="D200" s="138">
        <v>1940</v>
      </c>
      <c r="E200" s="138"/>
      <c r="F200" s="167" t="s">
        <v>319</v>
      </c>
      <c r="G200" s="138">
        <v>2</v>
      </c>
      <c r="H200" s="138">
        <v>2</v>
      </c>
      <c r="I200" s="130">
        <v>733.2</v>
      </c>
      <c r="J200" s="130">
        <v>662.54</v>
      </c>
      <c r="K200" s="130">
        <v>662.54</v>
      </c>
      <c r="L200" s="139">
        <v>22</v>
      </c>
      <c r="M200" s="138" t="s">
        <v>271</v>
      </c>
      <c r="N200" s="138" t="s">
        <v>275</v>
      </c>
      <c r="O200" s="136" t="s">
        <v>335</v>
      </c>
      <c r="P200" s="130">
        <v>2631787.1999999997</v>
      </c>
      <c r="Q200" s="130">
        <v>0</v>
      </c>
      <c r="R200" s="130">
        <v>0</v>
      </c>
      <c r="S200" s="130">
        <f t="shared" si="19"/>
        <v>2631787.1999999997</v>
      </c>
      <c r="T200" s="130">
        <f t="shared" si="15"/>
        <v>3589.4533551554823</v>
      </c>
      <c r="U200" s="130">
        <v>4155.6353518821597</v>
      </c>
    </row>
    <row r="201" spans="1:21" s="64" customFormat="1" ht="36" customHeight="1" x14ac:dyDescent="0.9">
      <c r="A201" s="64">
        <v>1</v>
      </c>
      <c r="B201" s="96">
        <f>SUBTOTAL(103,$A$16:A201)</f>
        <v>184</v>
      </c>
      <c r="C201" s="94" t="s">
        <v>1661</v>
      </c>
      <c r="D201" s="138">
        <v>1968</v>
      </c>
      <c r="E201" s="138"/>
      <c r="F201" s="167" t="s">
        <v>273</v>
      </c>
      <c r="G201" s="138">
        <v>2</v>
      </c>
      <c r="H201" s="138">
        <v>2</v>
      </c>
      <c r="I201" s="129">
        <v>1033.42</v>
      </c>
      <c r="J201" s="130">
        <v>631.74</v>
      </c>
      <c r="K201" s="130">
        <v>592.34</v>
      </c>
      <c r="L201" s="139">
        <v>23</v>
      </c>
      <c r="M201" s="138" t="s">
        <v>271</v>
      </c>
      <c r="N201" s="138" t="s">
        <v>272</v>
      </c>
      <c r="O201" s="136" t="s">
        <v>274</v>
      </c>
      <c r="P201" s="130">
        <v>3280798.23</v>
      </c>
      <c r="Q201" s="130">
        <v>0</v>
      </c>
      <c r="R201" s="130">
        <v>0</v>
      </c>
      <c r="S201" s="130">
        <f t="shared" si="19"/>
        <v>3280798.23</v>
      </c>
      <c r="T201" s="130">
        <f t="shared" si="15"/>
        <v>3174.6997638907701</v>
      </c>
      <c r="U201" s="130">
        <v>3174.6997638907701</v>
      </c>
    </row>
    <row r="202" spans="1:21" s="64" customFormat="1" ht="36" customHeight="1" x14ac:dyDescent="0.9">
      <c r="A202" s="64">
        <v>1</v>
      </c>
      <c r="B202" s="96">
        <f>SUBTOTAL(103,$A$16:A202)</f>
        <v>185</v>
      </c>
      <c r="C202" s="94" t="s">
        <v>1692</v>
      </c>
      <c r="D202" s="138">
        <v>1986</v>
      </c>
      <c r="E202" s="138"/>
      <c r="F202" s="167" t="s">
        <v>326</v>
      </c>
      <c r="G202" s="138">
        <v>5</v>
      </c>
      <c r="H202" s="138">
        <v>4</v>
      </c>
      <c r="I202" s="130">
        <v>3118.5</v>
      </c>
      <c r="J202" s="130">
        <v>3068.7</v>
      </c>
      <c r="K202" s="130">
        <f>J202</f>
        <v>3068.7</v>
      </c>
      <c r="L202" s="139">
        <v>110</v>
      </c>
      <c r="M202" s="138" t="s">
        <v>271</v>
      </c>
      <c r="N202" s="138" t="s">
        <v>275</v>
      </c>
      <c r="O202" s="136" t="s">
        <v>1432</v>
      </c>
      <c r="P202" s="130">
        <v>10022860.029999999</v>
      </c>
      <c r="Q202" s="130">
        <v>0</v>
      </c>
      <c r="R202" s="130">
        <v>0</v>
      </c>
      <c r="S202" s="130">
        <f>P202-Q202-R202</f>
        <v>10022860.029999999</v>
      </c>
      <c r="T202" s="130">
        <f t="shared" si="15"/>
        <v>3214.0003302869968</v>
      </c>
      <c r="U202" s="130">
        <v>5525.46</v>
      </c>
    </row>
    <row r="203" spans="1:21" s="64" customFormat="1" ht="36" customHeight="1" x14ac:dyDescent="0.9">
      <c r="B203" s="94" t="s">
        <v>803</v>
      </c>
      <c r="C203" s="126"/>
      <c r="D203" s="138" t="s">
        <v>934</v>
      </c>
      <c r="E203" s="138" t="s">
        <v>934</v>
      </c>
      <c r="F203" s="138" t="s">
        <v>934</v>
      </c>
      <c r="G203" s="138" t="s">
        <v>934</v>
      </c>
      <c r="H203" s="138" t="s">
        <v>934</v>
      </c>
      <c r="I203" s="129">
        <f>SUM(I204:I236)</f>
        <v>202837.27</v>
      </c>
      <c r="J203" s="129">
        <f t="shared" ref="J203:L203" si="20">SUM(J204:J236)</f>
        <v>167149.92000000004</v>
      </c>
      <c r="K203" s="129">
        <f t="shared" si="20"/>
        <v>157851.06</v>
      </c>
      <c r="L203" s="139">
        <f t="shared" si="20"/>
        <v>6655</v>
      </c>
      <c r="M203" s="138" t="s">
        <v>934</v>
      </c>
      <c r="N203" s="138" t="s">
        <v>934</v>
      </c>
      <c r="O203" s="136" t="s">
        <v>934</v>
      </c>
      <c r="P203" s="129">
        <v>182923711.81999996</v>
      </c>
      <c r="Q203" s="129">
        <f t="shared" ref="Q203:S203" si="21">SUM(Q204:Q236)</f>
        <v>0</v>
      </c>
      <c r="R203" s="129">
        <f t="shared" si="21"/>
        <v>0</v>
      </c>
      <c r="S203" s="129">
        <f t="shared" si="21"/>
        <v>182923711.81999996</v>
      </c>
      <c r="T203" s="130">
        <f t="shared" si="15"/>
        <v>901.82495465453644</v>
      </c>
      <c r="U203" s="130">
        <f>MAX(U204:U236)</f>
        <v>9518.2476827038263</v>
      </c>
    </row>
    <row r="204" spans="1:21" s="64" customFormat="1" ht="36" customHeight="1" x14ac:dyDescent="0.9">
      <c r="A204" s="64">
        <v>1</v>
      </c>
      <c r="B204" s="96">
        <f>SUBTOTAL(103,$A$16:A204)</f>
        <v>186</v>
      </c>
      <c r="C204" s="94" t="s">
        <v>804</v>
      </c>
      <c r="D204" s="138">
        <v>1960</v>
      </c>
      <c r="E204" s="138"/>
      <c r="F204" s="167" t="s">
        <v>273</v>
      </c>
      <c r="G204" s="138">
        <v>4</v>
      </c>
      <c r="H204" s="138">
        <v>3</v>
      </c>
      <c r="I204" s="130">
        <v>2116.5</v>
      </c>
      <c r="J204" s="130">
        <v>1931.2</v>
      </c>
      <c r="K204" s="130">
        <v>1680.5</v>
      </c>
      <c r="L204" s="139">
        <v>73</v>
      </c>
      <c r="M204" s="138" t="s">
        <v>271</v>
      </c>
      <c r="N204" s="138" t="s">
        <v>275</v>
      </c>
      <c r="O204" s="136" t="s">
        <v>844</v>
      </c>
      <c r="P204" s="130">
        <v>8097350.3199999994</v>
      </c>
      <c r="Q204" s="130">
        <v>0</v>
      </c>
      <c r="R204" s="130">
        <v>0</v>
      </c>
      <c r="S204" s="130">
        <f t="shared" ref="S204:S233" si="22">P204-Q204-R204</f>
        <v>8097350.3199999994</v>
      </c>
      <c r="T204" s="130">
        <f t="shared" ref="T204:T267" si="23">P204/I204</f>
        <v>3825.8210819749584</v>
      </c>
      <c r="U204" s="130">
        <v>4761.4940609496807</v>
      </c>
    </row>
    <row r="205" spans="1:21" s="64" customFormat="1" ht="36" customHeight="1" x14ac:dyDescent="0.9">
      <c r="A205" s="64">
        <v>1</v>
      </c>
      <c r="B205" s="96">
        <f>SUBTOTAL(103,$A$16:A205)</f>
        <v>187</v>
      </c>
      <c r="C205" s="94" t="s">
        <v>805</v>
      </c>
      <c r="D205" s="138">
        <v>1938</v>
      </c>
      <c r="E205" s="138"/>
      <c r="F205" s="167" t="s">
        <v>332</v>
      </c>
      <c r="G205" s="138">
        <v>2</v>
      </c>
      <c r="H205" s="138">
        <v>2</v>
      </c>
      <c r="I205" s="130">
        <v>692.4</v>
      </c>
      <c r="J205" s="130">
        <v>632.79999999999995</v>
      </c>
      <c r="K205" s="130">
        <v>632.79999999999995</v>
      </c>
      <c r="L205" s="139">
        <v>23</v>
      </c>
      <c r="M205" s="138" t="s">
        <v>271</v>
      </c>
      <c r="N205" s="138" t="s">
        <v>272</v>
      </c>
      <c r="O205" s="136" t="s">
        <v>274</v>
      </c>
      <c r="P205" s="130">
        <v>2390164.4000000004</v>
      </c>
      <c r="Q205" s="130">
        <v>0</v>
      </c>
      <c r="R205" s="130">
        <v>0</v>
      </c>
      <c r="S205" s="130">
        <f t="shared" si="22"/>
        <v>2390164.4000000004</v>
      </c>
      <c r="T205" s="130">
        <f t="shared" si="23"/>
        <v>3451.9994222992495</v>
      </c>
      <c r="U205" s="130">
        <v>4452.8951473136922</v>
      </c>
    </row>
    <row r="206" spans="1:21" s="64" customFormat="1" ht="36" customHeight="1" x14ac:dyDescent="0.9">
      <c r="A206" s="64">
        <v>1</v>
      </c>
      <c r="B206" s="96">
        <f>SUBTOTAL(103,$A$16:A206)</f>
        <v>188</v>
      </c>
      <c r="C206" s="94" t="s">
        <v>806</v>
      </c>
      <c r="D206" s="138">
        <v>1961</v>
      </c>
      <c r="E206" s="138"/>
      <c r="F206" s="167" t="s">
        <v>273</v>
      </c>
      <c r="G206" s="138">
        <v>2</v>
      </c>
      <c r="H206" s="138">
        <v>1</v>
      </c>
      <c r="I206" s="130">
        <v>296.39999999999998</v>
      </c>
      <c r="J206" s="130">
        <v>275.5</v>
      </c>
      <c r="K206" s="130">
        <v>275.5</v>
      </c>
      <c r="L206" s="139">
        <v>8</v>
      </c>
      <c r="M206" s="138" t="s">
        <v>271</v>
      </c>
      <c r="N206" s="138" t="s">
        <v>275</v>
      </c>
      <c r="O206" s="136" t="s">
        <v>845</v>
      </c>
      <c r="P206" s="130">
        <v>1247111.4300000002</v>
      </c>
      <c r="Q206" s="130">
        <v>0</v>
      </c>
      <c r="R206" s="130">
        <v>0</v>
      </c>
      <c r="S206" s="130">
        <f t="shared" si="22"/>
        <v>1247111.4300000002</v>
      </c>
      <c r="T206" s="130">
        <f t="shared" si="23"/>
        <v>4207.5284412955471</v>
      </c>
      <c r="U206" s="130">
        <v>5405.0165317138999</v>
      </c>
    </row>
    <row r="207" spans="1:21" s="64" customFormat="1" ht="36" customHeight="1" x14ac:dyDescent="0.9">
      <c r="A207" s="64">
        <v>1</v>
      </c>
      <c r="B207" s="96">
        <f>SUBTOTAL(103,$A$16:A207)</f>
        <v>189</v>
      </c>
      <c r="C207" s="94" t="s">
        <v>807</v>
      </c>
      <c r="D207" s="138">
        <v>1988</v>
      </c>
      <c r="E207" s="138"/>
      <c r="F207" s="167" t="s">
        <v>326</v>
      </c>
      <c r="G207" s="138">
        <v>9</v>
      </c>
      <c r="H207" s="138">
        <v>3</v>
      </c>
      <c r="I207" s="130">
        <v>6561.4</v>
      </c>
      <c r="J207" s="130">
        <v>5844</v>
      </c>
      <c r="K207" s="130">
        <v>5844</v>
      </c>
      <c r="L207" s="139">
        <v>243</v>
      </c>
      <c r="M207" s="138" t="s">
        <v>271</v>
      </c>
      <c r="N207" s="138" t="s">
        <v>275</v>
      </c>
      <c r="O207" s="136" t="s">
        <v>846</v>
      </c>
      <c r="P207" s="130">
        <v>6235239.4299999997</v>
      </c>
      <c r="Q207" s="130">
        <v>0</v>
      </c>
      <c r="R207" s="130">
        <v>0</v>
      </c>
      <c r="S207" s="130">
        <f t="shared" si="22"/>
        <v>6235239.4299999997</v>
      </c>
      <c r="T207" s="130">
        <f t="shared" si="23"/>
        <v>950.29100954064677</v>
      </c>
      <c r="U207" s="130">
        <v>1027.9679641539915</v>
      </c>
    </row>
    <row r="208" spans="1:21" s="64" customFormat="1" ht="36" customHeight="1" x14ac:dyDescent="0.9">
      <c r="A208" s="64">
        <v>1</v>
      </c>
      <c r="B208" s="96">
        <f>SUBTOTAL(103,$A$16:A208)</f>
        <v>190</v>
      </c>
      <c r="C208" s="94" t="s">
        <v>808</v>
      </c>
      <c r="D208" s="138">
        <v>1988</v>
      </c>
      <c r="E208" s="138"/>
      <c r="F208" s="167" t="s">
        <v>273</v>
      </c>
      <c r="G208" s="138">
        <v>9</v>
      </c>
      <c r="H208" s="138">
        <v>4</v>
      </c>
      <c r="I208" s="130">
        <v>9256.7000000000007</v>
      </c>
      <c r="J208" s="130">
        <v>8471</v>
      </c>
      <c r="K208" s="130">
        <v>8471</v>
      </c>
      <c r="L208" s="139">
        <v>452</v>
      </c>
      <c r="M208" s="138" t="s">
        <v>271</v>
      </c>
      <c r="N208" s="138" t="s">
        <v>275</v>
      </c>
      <c r="O208" s="136" t="s">
        <v>845</v>
      </c>
      <c r="P208" s="130">
        <v>8305636.5700000003</v>
      </c>
      <c r="Q208" s="130">
        <v>0</v>
      </c>
      <c r="R208" s="130">
        <v>0</v>
      </c>
      <c r="S208" s="130">
        <f t="shared" si="22"/>
        <v>8305636.5700000003</v>
      </c>
      <c r="T208" s="130">
        <f t="shared" si="23"/>
        <v>897.25675132606648</v>
      </c>
      <c r="U208" s="130">
        <v>971.53542839240754</v>
      </c>
    </row>
    <row r="209" spans="1:21" s="64" customFormat="1" ht="36" customHeight="1" x14ac:dyDescent="0.9">
      <c r="A209" s="64">
        <v>1</v>
      </c>
      <c r="B209" s="96">
        <f>SUBTOTAL(103,$A$16:A209)</f>
        <v>191</v>
      </c>
      <c r="C209" s="94" t="s">
        <v>809</v>
      </c>
      <c r="D209" s="138">
        <v>1984</v>
      </c>
      <c r="E209" s="138"/>
      <c r="F209" s="167" t="s">
        <v>326</v>
      </c>
      <c r="G209" s="138">
        <v>9</v>
      </c>
      <c r="H209" s="138">
        <v>5</v>
      </c>
      <c r="I209" s="130">
        <v>12333.3</v>
      </c>
      <c r="J209" s="130">
        <v>9670</v>
      </c>
      <c r="K209" s="130">
        <v>9670</v>
      </c>
      <c r="L209" s="139">
        <v>417</v>
      </c>
      <c r="M209" s="138" t="s">
        <v>271</v>
      </c>
      <c r="N209" s="138" t="s">
        <v>275</v>
      </c>
      <c r="O209" s="136" t="s">
        <v>847</v>
      </c>
      <c r="P209" s="130">
        <v>10305814.43</v>
      </c>
      <c r="Q209" s="130">
        <v>0</v>
      </c>
      <c r="R209" s="130">
        <v>0</v>
      </c>
      <c r="S209" s="130">
        <f t="shared" si="22"/>
        <v>10305814.43</v>
      </c>
      <c r="T209" s="130">
        <f t="shared" si="23"/>
        <v>835.60883380765893</v>
      </c>
      <c r="U209" s="130">
        <v>911.47665263960175</v>
      </c>
    </row>
    <row r="210" spans="1:21" s="64" customFormat="1" ht="36" customHeight="1" x14ac:dyDescent="0.9">
      <c r="A210" s="64">
        <v>1</v>
      </c>
      <c r="B210" s="96">
        <f>SUBTOTAL(103,$A$16:A210)</f>
        <v>192</v>
      </c>
      <c r="C210" s="94" t="s">
        <v>810</v>
      </c>
      <c r="D210" s="138">
        <v>1987</v>
      </c>
      <c r="E210" s="138"/>
      <c r="F210" s="167" t="s">
        <v>326</v>
      </c>
      <c r="G210" s="138">
        <v>9</v>
      </c>
      <c r="H210" s="138">
        <v>5</v>
      </c>
      <c r="I210" s="130">
        <v>12462.6</v>
      </c>
      <c r="J210" s="130">
        <v>9746.7999999999993</v>
      </c>
      <c r="K210" s="130">
        <v>9746.7999999999993</v>
      </c>
      <c r="L210" s="139">
        <v>419</v>
      </c>
      <c r="M210" s="138" t="s">
        <v>271</v>
      </c>
      <c r="N210" s="138" t="s">
        <v>275</v>
      </c>
      <c r="O210" s="136" t="s">
        <v>847</v>
      </c>
      <c r="P210" s="130">
        <v>9954095.7100000009</v>
      </c>
      <c r="Q210" s="130">
        <v>0</v>
      </c>
      <c r="R210" s="130">
        <v>0</v>
      </c>
      <c r="S210" s="130">
        <f t="shared" si="22"/>
        <v>9954095.7100000009</v>
      </c>
      <c r="T210" s="130">
        <f t="shared" si="23"/>
        <v>798.71741931860129</v>
      </c>
      <c r="U210" s="130">
        <v>902.02004397156293</v>
      </c>
    </row>
    <row r="211" spans="1:21" s="64" customFormat="1" ht="36" customHeight="1" x14ac:dyDescent="0.9">
      <c r="A211" s="64">
        <v>1</v>
      </c>
      <c r="B211" s="96">
        <f>SUBTOTAL(103,$A$16:A211)</f>
        <v>193</v>
      </c>
      <c r="C211" s="94" t="s">
        <v>811</v>
      </c>
      <c r="D211" s="138">
        <v>1937</v>
      </c>
      <c r="E211" s="138"/>
      <c r="F211" s="167" t="s">
        <v>273</v>
      </c>
      <c r="G211" s="138">
        <v>3</v>
      </c>
      <c r="H211" s="138">
        <v>4</v>
      </c>
      <c r="I211" s="130">
        <v>2718</v>
      </c>
      <c r="J211" s="130">
        <v>2039</v>
      </c>
      <c r="K211" s="130">
        <v>2039</v>
      </c>
      <c r="L211" s="139">
        <v>62</v>
      </c>
      <c r="M211" s="138" t="s">
        <v>271</v>
      </c>
      <c r="N211" s="138" t="s">
        <v>275</v>
      </c>
      <c r="O211" s="136" t="s">
        <v>848</v>
      </c>
      <c r="P211" s="130">
        <v>9311263.3400000017</v>
      </c>
      <c r="Q211" s="130">
        <v>0</v>
      </c>
      <c r="R211" s="130">
        <v>0</v>
      </c>
      <c r="S211" s="130">
        <f t="shared" si="22"/>
        <v>9311263.3400000017</v>
      </c>
      <c r="T211" s="130">
        <f t="shared" si="23"/>
        <v>3425.7775349521712</v>
      </c>
      <c r="U211" s="130">
        <v>3697.55</v>
      </c>
    </row>
    <row r="212" spans="1:21" s="64" customFormat="1" ht="36" customHeight="1" x14ac:dyDescent="0.9">
      <c r="A212" s="64">
        <v>1</v>
      </c>
      <c r="B212" s="96">
        <f>SUBTOTAL(103,$A$16:A212)</f>
        <v>194</v>
      </c>
      <c r="C212" s="94" t="s">
        <v>812</v>
      </c>
      <c r="D212" s="138">
        <v>1958</v>
      </c>
      <c r="E212" s="138"/>
      <c r="F212" s="167" t="s">
        <v>273</v>
      </c>
      <c r="G212" s="138">
        <v>2</v>
      </c>
      <c r="H212" s="138">
        <v>2</v>
      </c>
      <c r="I212" s="130">
        <v>478.27</v>
      </c>
      <c r="J212" s="130">
        <v>304.72000000000003</v>
      </c>
      <c r="K212" s="130">
        <v>304.72000000000003</v>
      </c>
      <c r="L212" s="139">
        <v>20</v>
      </c>
      <c r="M212" s="138" t="s">
        <v>271</v>
      </c>
      <c r="N212" s="138" t="s">
        <v>272</v>
      </c>
      <c r="O212" s="136" t="s">
        <v>274</v>
      </c>
      <c r="P212" s="130">
        <v>3165589.23</v>
      </c>
      <c r="Q212" s="130">
        <v>0</v>
      </c>
      <c r="R212" s="130">
        <v>0</v>
      </c>
      <c r="S212" s="130">
        <f t="shared" si="22"/>
        <v>3165589.23</v>
      </c>
      <c r="T212" s="130">
        <f t="shared" si="23"/>
        <v>6618.8329395529727</v>
      </c>
      <c r="U212" s="130">
        <v>8532.179522027307</v>
      </c>
    </row>
    <row r="213" spans="1:21" s="64" customFormat="1" ht="36" customHeight="1" x14ac:dyDescent="0.9">
      <c r="A213" s="64">
        <v>1</v>
      </c>
      <c r="B213" s="96">
        <f>SUBTOTAL(103,$A$16:A213)</f>
        <v>195</v>
      </c>
      <c r="C213" s="94" t="s">
        <v>813</v>
      </c>
      <c r="D213" s="138">
        <v>1962</v>
      </c>
      <c r="E213" s="138"/>
      <c r="F213" s="167" t="s">
        <v>273</v>
      </c>
      <c r="G213" s="138">
        <v>6</v>
      </c>
      <c r="H213" s="138">
        <v>5</v>
      </c>
      <c r="I213" s="130">
        <v>5489.1</v>
      </c>
      <c r="J213" s="130">
        <v>4498.1000000000004</v>
      </c>
      <c r="K213" s="130">
        <v>4151.8999999999996</v>
      </c>
      <c r="L213" s="139">
        <v>130</v>
      </c>
      <c r="M213" s="138" t="s">
        <v>271</v>
      </c>
      <c r="N213" s="138" t="s">
        <v>275</v>
      </c>
      <c r="O213" s="136" t="s">
        <v>849</v>
      </c>
      <c r="P213" s="130">
        <v>8070053</v>
      </c>
      <c r="Q213" s="130">
        <v>0</v>
      </c>
      <c r="R213" s="130">
        <v>0</v>
      </c>
      <c r="S213" s="130">
        <f t="shared" si="22"/>
        <v>8070053</v>
      </c>
      <c r="T213" s="130">
        <f t="shared" si="23"/>
        <v>1470.1960248492467</v>
      </c>
      <c r="U213" s="130">
        <v>1872.3072999216629</v>
      </c>
    </row>
    <row r="214" spans="1:21" s="64" customFormat="1" ht="36" customHeight="1" x14ac:dyDescent="0.9">
      <c r="A214" s="64">
        <v>1</v>
      </c>
      <c r="B214" s="96">
        <f>SUBTOTAL(103,$A$16:A214)</f>
        <v>196</v>
      </c>
      <c r="C214" s="94" t="s">
        <v>814</v>
      </c>
      <c r="D214" s="138">
        <v>1962</v>
      </c>
      <c r="E214" s="138"/>
      <c r="F214" s="167" t="s">
        <v>273</v>
      </c>
      <c r="G214" s="138">
        <v>4</v>
      </c>
      <c r="H214" s="138">
        <v>3</v>
      </c>
      <c r="I214" s="130">
        <v>2946.2</v>
      </c>
      <c r="J214" s="130">
        <v>1810.2</v>
      </c>
      <c r="K214" s="130">
        <v>1653.1</v>
      </c>
      <c r="L214" s="139">
        <v>95</v>
      </c>
      <c r="M214" s="138" t="s">
        <v>271</v>
      </c>
      <c r="N214" s="138" t="s">
        <v>275</v>
      </c>
      <c r="O214" s="136" t="s">
        <v>846</v>
      </c>
      <c r="P214" s="130">
        <v>5126857.2</v>
      </c>
      <c r="Q214" s="130">
        <v>0</v>
      </c>
      <c r="R214" s="130">
        <v>0</v>
      </c>
      <c r="S214" s="130">
        <f t="shared" si="22"/>
        <v>5126857.2</v>
      </c>
      <c r="T214" s="130">
        <f t="shared" si="23"/>
        <v>1740.1592559907679</v>
      </c>
      <c r="U214" s="130">
        <v>2216.1077998778087</v>
      </c>
    </row>
    <row r="215" spans="1:21" s="64" customFormat="1" ht="36" customHeight="1" x14ac:dyDescent="0.9">
      <c r="A215" s="64">
        <v>1</v>
      </c>
      <c r="B215" s="96">
        <f>SUBTOTAL(103,$A$16:A215)</f>
        <v>197</v>
      </c>
      <c r="C215" s="94" t="s">
        <v>815</v>
      </c>
      <c r="D215" s="138">
        <v>1930</v>
      </c>
      <c r="E215" s="138"/>
      <c r="F215" s="167" t="s">
        <v>273</v>
      </c>
      <c r="G215" s="138">
        <v>4</v>
      </c>
      <c r="H215" s="138">
        <v>2</v>
      </c>
      <c r="I215" s="130">
        <v>3000</v>
      </c>
      <c r="J215" s="130">
        <v>2823.84</v>
      </c>
      <c r="K215" s="130">
        <v>1772.64</v>
      </c>
      <c r="L215" s="139">
        <v>98</v>
      </c>
      <c r="M215" s="138" t="s">
        <v>271</v>
      </c>
      <c r="N215" s="138" t="s">
        <v>272</v>
      </c>
      <c r="O215" s="136" t="s">
        <v>274</v>
      </c>
      <c r="P215" s="130">
        <v>8021093.6299999999</v>
      </c>
      <c r="Q215" s="130">
        <v>0</v>
      </c>
      <c r="R215" s="130">
        <v>0</v>
      </c>
      <c r="S215" s="130">
        <f t="shared" si="22"/>
        <v>8021093.6299999999</v>
      </c>
      <c r="T215" s="130">
        <f t="shared" si="23"/>
        <v>2673.6978766666666</v>
      </c>
      <c r="U215" s="130">
        <v>3374.0854666666664</v>
      </c>
    </row>
    <row r="216" spans="1:21" s="64" customFormat="1" ht="36" customHeight="1" x14ac:dyDescent="0.9">
      <c r="A216" s="64">
        <v>1</v>
      </c>
      <c r="B216" s="96">
        <f>SUBTOTAL(103,$A$16:A216)</f>
        <v>198</v>
      </c>
      <c r="C216" s="94" t="s">
        <v>1234</v>
      </c>
      <c r="D216" s="138">
        <v>1954</v>
      </c>
      <c r="E216" s="138"/>
      <c r="F216" s="167" t="s">
        <v>273</v>
      </c>
      <c r="G216" s="138">
        <v>2</v>
      </c>
      <c r="H216" s="138">
        <v>1</v>
      </c>
      <c r="I216" s="130">
        <v>796.2</v>
      </c>
      <c r="J216" s="130">
        <v>475.5</v>
      </c>
      <c r="K216" s="130">
        <v>475.5</v>
      </c>
      <c r="L216" s="139">
        <v>37</v>
      </c>
      <c r="M216" s="138" t="s">
        <v>271</v>
      </c>
      <c r="N216" s="138" t="s">
        <v>275</v>
      </c>
      <c r="O216" s="136" t="s">
        <v>1371</v>
      </c>
      <c r="P216" s="130">
        <v>3853007.0700000003</v>
      </c>
      <c r="Q216" s="130">
        <v>0</v>
      </c>
      <c r="R216" s="130">
        <v>0</v>
      </c>
      <c r="S216" s="130">
        <f t="shared" si="22"/>
        <v>3853007.0700000003</v>
      </c>
      <c r="T216" s="130">
        <f t="shared" si="23"/>
        <v>4839.2452524491337</v>
      </c>
      <c r="U216" s="130">
        <v>7298.9537844762617</v>
      </c>
    </row>
    <row r="217" spans="1:21" s="64" customFormat="1" ht="36" customHeight="1" x14ac:dyDescent="0.9">
      <c r="A217" s="64">
        <v>1</v>
      </c>
      <c r="B217" s="96">
        <f>SUBTOTAL(103,$A$16:A217)</f>
        <v>199</v>
      </c>
      <c r="C217" s="94" t="s">
        <v>1235</v>
      </c>
      <c r="D217" s="138">
        <v>1937</v>
      </c>
      <c r="E217" s="138"/>
      <c r="F217" s="167" t="s">
        <v>273</v>
      </c>
      <c r="G217" s="138">
        <v>3</v>
      </c>
      <c r="H217" s="138">
        <v>4</v>
      </c>
      <c r="I217" s="130">
        <v>2626</v>
      </c>
      <c r="J217" s="130">
        <v>2539.62</v>
      </c>
      <c r="K217" s="130">
        <v>2422.8000000000002</v>
      </c>
      <c r="L217" s="139">
        <v>96</v>
      </c>
      <c r="M217" s="138" t="s">
        <v>271</v>
      </c>
      <c r="N217" s="138" t="s">
        <v>275</v>
      </c>
      <c r="O217" s="136" t="s">
        <v>853</v>
      </c>
      <c r="P217" s="130">
        <v>3073982.0300000003</v>
      </c>
      <c r="Q217" s="130">
        <v>0</v>
      </c>
      <c r="R217" s="130">
        <v>0</v>
      </c>
      <c r="S217" s="130">
        <f t="shared" si="22"/>
        <v>3073982.0300000003</v>
      </c>
      <c r="T217" s="130">
        <f t="shared" si="23"/>
        <v>1170.5948324447832</v>
      </c>
      <c r="U217" s="130">
        <v>3697.55</v>
      </c>
    </row>
    <row r="218" spans="1:21" s="64" customFormat="1" ht="36" customHeight="1" x14ac:dyDescent="0.9">
      <c r="A218" s="64">
        <v>1</v>
      </c>
      <c r="B218" s="96">
        <f>SUBTOTAL(103,$A$16:A218)</f>
        <v>200</v>
      </c>
      <c r="C218" s="94" t="s">
        <v>1236</v>
      </c>
      <c r="D218" s="138">
        <v>1934</v>
      </c>
      <c r="E218" s="138"/>
      <c r="F218" s="167" t="s">
        <v>273</v>
      </c>
      <c r="G218" s="138">
        <v>4</v>
      </c>
      <c r="H218" s="138">
        <v>6</v>
      </c>
      <c r="I218" s="130">
        <v>3106.06</v>
      </c>
      <c r="J218" s="130">
        <v>2975.66</v>
      </c>
      <c r="K218" s="130">
        <v>2536.1999999999998</v>
      </c>
      <c r="L218" s="139">
        <v>138</v>
      </c>
      <c r="M218" s="138" t="s">
        <v>271</v>
      </c>
      <c r="N218" s="138" t="s">
        <v>275</v>
      </c>
      <c r="O218" s="136" t="s">
        <v>1704</v>
      </c>
      <c r="P218" s="130">
        <v>5597667.4300000006</v>
      </c>
      <c r="Q218" s="130">
        <v>0</v>
      </c>
      <c r="R218" s="130">
        <v>0</v>
      </c>
      <c r="S218" s="130">
        <f t="shared" si="22"/>
        <v>5597667.4300000006</v>
      </c>
      <c r="T218" s="130">
        <f t="shared" si="23"/>
        <v>1802.1762071563332</v>
      </c>
      <c r="U218" s="130">
        <v>2347.7185763314296</v>
      </c>
    </row>
    <row r="219" spans="1:21" s="64" customFormat="1" ht="36" customHeight="1" x14ac:dyDescent="0.9">
      <c r="A219" s="64">
        <v>1</v>
      </c>
      <c r="B219" s="96">
        <f>SUBTOTAL(103,$A$16:A219)</f>
        <v>201</v>
      </c>
      <c r="C219" s="94" t="s">
        <v>1237</v>
      </c>
      <c r="D219" s="138">
        <v>1965</v>
      </c>
      <c r="E219" s="138"/>
      <c r="F219" s="167" t="s">
        <v>273</v>
      </c>
      <c r="G219" s="138">
        <v>4</v>
      </c>
      <c r="H219" s="138">
        <v>2</v>
      </c>
      <c r="I219" s="130">
        <v>1301</v>
      </c>
      <c r="J219" s="130">
        <v>819</v>
      </c>
      <c r="K219" s="130">
        <v>819</v>
      </c>
      <c r="L219" s="139">
        <v>55</v>
      </c>
      <c r="M219" s="138" t="s">
        <v>271</v>
      </c>
      <c r="N219" s="138" t="s">
        <v>275</v>
      </c>
      <c r="O219" s="136" t="s">
        <v>848</v>
      </c>
      <c r="P219" s="130">
        <v>871733.77</v>
      </c>
      <c r="Q219" s="130">
        <v>0</v>
      </c>
      <c r="R219" s="130">
        <v>0</v>
      </c>
      <c r="S219" s="130">
        <f t="shared" si="22"/>
        <v>871733.77</v>
      </c>
      <c r="T219" s="130">
        <f t="shared" si="23"/>
        <v>670.04901614142966</v>
      </c>
      <c r="U219" s="130">
        <v>849.44999999999993</v>
      </c>
    </row>
    <row r="220" spans="1:21" s="64" customFormat="1" ht="36" customHeight="1" x14ac:dyDescent="0.9">
      <c r="A220" s="64">
        <v>1</v>
      </c>
      <c r="B220" s="96">
        <f>SUBTOTAL(103,$A$16:A220)</f>
        <v>202</v>
      </c>
      <c r="C220" s="94" t="s">
        <v>1238</v>
      </c>
      <c r="D220" s="138">
        <v>1937</v>
      </c>
      <c r="E220" s="138"/>
      <c r="F220" s="167" t="s">
        <v>273</v>
      </c>
      <c r="G220" s="138" t="s">
        <v>316</v>
      </c>
      <c r="H220" s="138" t="s">
        <v>320</v>
      </c>
      <c r="I220" s="130">
        <v>1585.9</v>
      </c>
      <c r="J220" s="130">
        <v>1465.1</v>
      </c>
      <c r="K220" s="130">
        <v>1465.1</v>
      </c>
      <c r="L220" s="139">
        <v>39</v>
      </c>
      <c r="M220" s="138" t="s">
        <v>271</v>
      </c>
      <c r="N220" s="138" t="s">
        <v>272</v>
      </c>
      <c r="O220" s="136" t="s">
        <v>274</v>
      </c>
      <c r="P220" s="130">
        <v>3913221.0100000002</v>
      </c>
      <c r="Q220" s="130">
        <v>0</v>
      </c>
      <c r="R220" s="130">
        <v>0</v>
      </c>
      <c r="S220" s="130">
        <f t="shared" si="22"/>
        <v>3913221.0100000002</v>
      </c>
      <c r="T220" s="130">
        <f t="shared" si="23"/>
        <v>2467.5080459045339</v>
      </c>
      <c r="U220" s="130">
        <v>9518.2476827038263</v>
      </c>
    </row>
    <row r="221" spans="1:21" s="64" customFormat="1" ht="36" customHeight="1" x14ac:dyDescent="0.9">
      <c r="A221" s="64">
        <v>1</v>
      </c>
      <c r="B221" s="96">
        <f>SUBTOTAL(103,$A$16:A221)</f>
        <v>203</v>
      </c>
      <c r="C221" s="94" t="s">
        <v>1239</v>
      </c>
      <c r="D221" s="138">
        <v>1981</v>
      </c>
      <c r="E221" s="138"/>
      <c r="F221" s="167" t="s">
        <v>326</v>
      </c>
      <c r="G221" s="138">
        <v>5</v>
      </c>
      <c r="H221" s="138">
        <v>6</v>
      </c>
      <c r="I221" s="130">
        <v>6247.1</v>
      </c>
      <c r="J221" s="130">
        <v>4719.7</v>
      </c>
      <c r="K221" s="130">
        <v>4641.3999999999996</v>
      </c>
      <c r="L221" s="139">
        <v>201</v>
      </c>
      <c r="M221" s="138" t="s">
        <v>271</v>
      </c>
      <c r="N221" s="138" t="s">
        <v>275</v>
      </c>
      <c r="O221" s="136" t="s">
        <v>1423</v>
      </c>
      <c r="P221" s="130">
        <v>3820202.75</v>
      </c>
      <c r="Q221" s="130">
        <v>0</v>
      </c>
      <c r="R221" s="130">
        <v>0</v>
      </c>
      <c r="S221" s="130">
        <f t="shared" si="22"/>
        <v>3820202.75</v>
      </c>
      <c r="T221" s="130">
        <f t="shared" si="23"/>
        <v>611.51618350914816</v>
      </c>
      <c r="U221" s="130">
        <v>1100.5909394759167</v>
      </c>
    </row>
    <row r="222" spans="1:21" s="64" customFormat="1" ht="36" customHeight="1" x14ac:dyDescent="0.9">
      <c r="A222" s="64">
        <v>1</v>
      </c>
      <c r="B222" s="96">
        <f>SUBTOTAL(103,$A$16:A222)</f>
        <v>204</v>
      </c>
      <c r="C222" s="94" t="s">
        <v>1240</v>
      </c>
      <c r="D222" s="138" t="s">
        <v>1405</v>
      </c>
      <c r="E222" s="138"/>
      <c r="F222" s="167" t="s">
        <v>273</v>
      </c>
      <c r="G222" s="138" t="s">
        <v>311</v>
      </c>
      <c r="H222" s="138" t="s">
        <v>312</v>
      </c>
      <c r="I222" s="130">
        <v>286.8</v>
      </c>
      <c r="J222" s="130">
        <v>236.8</v>
      </c>
      <c r="K222" s="130">
        <v>236.8</v>
      </c>
      <c r="L222" s="139">
        <v>9</v>
      </c>
      <c r="M222" s="138" t="s">
        <v>271</v>
      </c>
      <c r="N222" s="138" t="s">
        <v>272</v>
      </c>
      <c r="O222" s="136" t="s">
        <v>274</v>
      </c>
      <c r="P222" s="130">
        <v>1739206.6500000001</v>
      </c>
      <c r="Q222" s="130">
        <v>0</v>
      </c>
      <c r="R222" s="130">
        <v>0</v>
      </c>
      <c r="S222" s="130">
        <f t="shared" si="22"/>
        <v>1739206.6500000001</v>
      </c>
      <c r="T222" s="130">
        <f t="shared" si="23"/>
        <v>6064.1793933054396</v>
      </c>
      <c r="U222" s="130">
        <v>9145.0149205020916</v>
      </c>
    </row>
    <row r="223" spans="1:21" s="64" customFormat="1" ht="36" customHeight="1" x14ac:dyDescent="0.9">
      <c r="A223" s="64">
        <v>1</v>
      </c>
      <c r="B223" s="96">
        <f>SUBTOTAL(103,$A$16:A223)</f>
        <v>205</v>
      </c>
      <c r="C223" s="94" t="s">
        <v>1241</v>
      </c>
      <c r="D223" s="138">
        <v>1979</v>
      </c>
      <c r="E223" s="138"/>
      <c r="F223" s="167" t="s">
        <v>273</v>
      </c>
      <c r="G223" s="138">
        <v>9</v>
      </c>
      <c r="H223" s="138">
        <v>12</v>
      </c>
      <c r="I223" s="130">
        <v>25677.4</v>
      </c>
      <c r="J223" s="130">
        <v>23071.200000000001</v>
      </c>
      <c r="K223" s="130">
        <v>22907.62</v>
      </c>
      <c r="L223" s="139">
        <v>888</v>
      </c>
      <c r="M223" s="138" t="s">
        <v>271</v>
      </c>
      <c r="N223" s="138" t="s">
        <v>275</v>
      </c>
      <c r="O223" s="136" t="s">
        <v>846</v>
      </c>
      <c r="P223" s="130">
        <v>4419889.76</v>
      </c>
      <c r="Q223" s="130">
        <v>0</v>
      </c>
      <c r="R223" s="130">
        <v>0</v>
      </c>
      <c r="S223" s="130">
        <f t="shared" si="22"/>
        <v>4419889.76</v>
      </c>
      <c r="T223" s="130">
        <f t="shared" si="23"/>
        <v>172.13151487300115</v>
      </c>
      <c r="U223" s="130">
        <v>262.6788148332775</v>
      </c>
    </row>
    <row r="224" spans="1:21" s="64" customFormat="1" ht="36" customHeight="1" x14ac:dyDescent="0.9">
      <c r="A224" s="64">
        <v>1</v>
      </c>
      <c r="B224" s="96">
        <f>SUBTOTAL(103,$A$16:A224)</f>
        <v>206</v>
      </c>
      <c r="C224" s="94" t="s">
        <v>1242</v>
      </c>
      <c r="D224" s="138">
        <v>1949</v>
      </c>
      <c r="E224" s="138"/>
      <c r="F224" s="167" t="s">
        <v>273</v>
      </c>
      <c r="G224" s="138">
        <v>2</v>
      </c>
      <c r="H224" s="138">
        <v>1</v>
      </c>
      <c r="I224" s="130">
        <v>404.4</v>
      </c>
      <c r="J224" s="130">
        <v>347.7</v>
      </c>
      <c r="K224" s="130">
        <v>374.7</v>
      </c>
      <c r="L224" s="139">
        <v>26</v>
      </c>
      <c r="M224" s="138" t="s">
        <v>271</v>
      </c>
      <c r="N224" s="138" t="s">
        <v>275</v>
      </c>
      <c r="O224" s="136" t="s">
        <v>1371</v>
      </c>
      <c r="P224" s="130">
        <v>2731365</v>
      </c>
      <c r="Q224" s="130">
        <v>0</v>
      </c>
      <c r="R224" s="130">
        <v>0</v>
      </c>
      <c r="S224" s="130">
        <f t="shared" si="22"/>
        <v>2731365</v>
      </c>
      <c r="T224" s="130">
        <f t="shared" si="23"/>
        <v>6754.1172106824934</v>
      </c>
      <c r="U224" s="130">
        <v>9232.1808753709211</v>
      </c>
    </row>
    <row r="225" spans="1:21" s="64" customFormat="1" ht="36" customHeight="1" x14ac:dyDescent="0.9">
      <c r="A225" s="64">
        <v>1</v>
      </c>
      <c r="B225" s="96">
        <f>SUBTOTAL(103,$A$16:A225)</f>
        <v>207</v>
      </c>
      <c r="C225" s="94" t="s">
        <v>1243</v>
      </c>
      <c r="D225" s="138">
        <v>1958</v>
      </c>
      <c r="E225" s="138"/>
      <c r="F225" s="167" t="s">
        <v>273</v>
      </c>
      <c r="G225" s="138">
        <v>2</v>
      </c>
      <c r="H225" s="138">
        <v>1</v>
      </c>
      <c r="I225" s="130">
        <v>294.7</v>
      </c>
      <c r="J225" s="130">
        <v>278</v>
      </c>
      <c r="K225" s="130">
        <v>278</v>
      </c>
      <c r="L225" s="139">
        <v>13</v>
      </c>
      <c r="M225" s="138" t="s">
        <v>271</v>
      </c>
      <c r="N225" s="138" t="s">
        <v>275</v>
      </c>
      <c r="O225" s="136" t="s">
        <v>1371</v>
      </c>
      <c r="P225" s="130">
        <v>547671.99</v>
      </c>
      <c r="Q225" s="130">
        <v>0</v>
      </c>
      <c r="R225" s="130">
        <v>0</v>
      </c>
      <c r="S225" s="130">
        <f t="shared" si="22"/>
        <v>547671.99</v>
      </c>
      <c r="T225" s="130">
        <f t="shared" si="23"/>
        <v>1858.4051238547677</v>
      </c>
      <c r="U225" s="130">
        <v>3658.681710213777</v>
      </c>
    </row>
    <row r="226" spans="1:21" s="64" customFormat="1" ht="36" customHeight="1" x14ac:dyDescent="0.9">
      <c r="A226" s="64">
        <v>1</v>
      </c>
      <c r="B226" s="96">
        <f>SUBTOTAL(103,$A$16:A226)</f>
        <v>208</v>
      </c>
      <c r="C226" s="94" t="s">
        <v>1244</v>
      </c>
      <c r="D226" s="138">
        <v>1993</v>
      </c>
      <c r="E226" s="138"/>
      <c r="F226" s="167" t="s">
        <v>326</v>
      </c>
      <c r="G226" s="138">
        <v>9</v>
      </c>
      <c r="H226" s="138">
        <v>4</v>
      </c>
      <c r="I226" s="130">
        <v>10873.5</v>
      </c>
      <c r="J226" s="130">
        <v>7661.3</v>
      </c>
      <c r="K226" s="130">
        <v>7661.3</v>
      </c>
      <c r="L226" s="139">
        <v>328</v>
      </c>
      <c r="M226" s="138" t="s">
        <v>271</v>
      </c>
      <c r="N226" s="138" t="s">
        <v>275</v>
      </c>
      <c r="O226" s="136" t="s">
        <v>1424</v>
      </c>
      <c r="P226" s="130">
        <v>7889085.5</v>
      </c>
      <c r="Q226" s="130">
        <v>0</v>
      </c>
      <c r="R226" s="130">
        <v>0</v>
      </c>
      <c r="S226" s="130">
        <f t="shared" si="22"/>
        <v>7889085.5</v>
      </c>
      <c r="T226" s="130">
        <f t="shared" si="23"/>
        <v>725.53322297328373</v>
      </c>
      <c r="U226" s="130">
        <v>827.0761024509128</v>
      </c>
    </row>
    <row r="227" spans="1:21" s="64" customFormat="1" ht="36" customHeight="1" x14ac:dyDescent="0.9">
      <c r="A227" s="64">
        <v>1</v>
      </c>
      <c r="B227" s="96">
        <f>SUBTOTAL(103,$A$16:A227)</f>
        <v>209</v>
      </c>
      <c r="C227" s="94" t="s">
        <v>1350</v>
      </c>
      <c r="D227" s="138">
        <v>1931</v>
      </c>
      <c r="E227" s="138"/>
      <c r="F227" s="167" t="s">
        <v>273</v>
      </c>
      <c r="G227" s="138">
        <v>4</v>
      </c>
      <c r="H227" s="138">
        <v>6</v>
      </c>
      <c r="I227" s="130">
        <v>4408.1000000000004</v>
      </c>
      <c r="J227" s="130">
        <v>3565.39</v>
      </c>
      <c r="K227" s="130">
        <v>2791.19</v>
      </c>
      <c r="L227" s="139">
        <v>109</v>
      </c>
      <c r="M227" s="138" t="s">
        <v>271</v>
      </c>
      <c r="N227" s="138" t="s">
        <v>275</v>
      </c>
      <c r="O227" s="136" t="s">
        <v>1433</v>
      </c>
      <c r="P227" s="130">
        <v>6422564.7000000002</v>
      </c>
      <c r="Q227" s="130">
        <v>0</v>
      </c>
      <c r="R227" s="130">
        <v>0</v>
      </c>
      <c r="S227" s="130">
        <f t="shared" si="22"/>
        <v>6422564.7000000002</v>
      </c>
      <c r="T227" s="130">
        <f t="shared" si="23"/>
        <v>1456.9916063610171</v>
      </c>
      <c r="U227" s="130">
        <v>2124.077945917742</v>
      </c>
    </row>
    <row r="228" spans="1:21" s="64" customFormat="1" ht="36" customHeight="1" x14ac:dyDescent="0.9">
      <c r="A228" s="64">
        <v>1</v>
      </c>
      <c r="B228" s="96">
        <f>SUBTOTAL(103,$A$16:A228)</f>
        <v>210</v>
      </c>
      <c r="C228" s="94" t="s">
        <v>1448</v>
      </c>
      <c r="D228" s="138">
        <v>1986</v>
      </c>
      <c r="E228" s="138"/>
      <c r="F228" s="167" t="s">
        <v>273</v>
      </c>
      <c r="G228" s="138">
        <v>9</v>
      </c>
      <c r="H228" s="138">
        <v>9</v>
      </c>
      <c r="I228" s="130">
        <v>28272.12</v>
      </c>
      <c r="J228" s="130">
        <v>23513.1</v>
      </c>
      <c r="K228" s="130">
        <v>20084.3</v>
      </c>
      <c r="L228" s="139">
        <v>668</v>
      </c>
      <c r="M228" s="138" t="s">
        <v>271</v>
      </c>
      <c r="N228" s="138" t="s">
        <v>349</v>
      </c>
      <c r="O228" s="136" t="s">
        <v>1469</v>
      </c>
      <c r="P228" s="130">
        <v>15276776.880000001</v>
      </c>
      <c r="Q228" s="130">
        <v>0</v>
      </c>
      <c r="R228" s="130">
        <v>0</v>
      </c>
      <c r="S228" s="130">
        <f t="shared" si="22"/>
        <v>15276776.880000001</v>
      </c>
      <c r="T228" s="130">
        <f t="shared" si="23"/>
        <v>540.34776592629066</v>
      </c>
      <c r="U228" s="130">
        <v>715.7131124231222</v>
      </c>
    </row>
    <row r="229" spans="1:21" s="64" customFormat="1" ht="36" customHeight="1" x14ac:dyDescent="0.9">
      <c r="A229" s="64">
        <v>1</v>
      </c>
      <c r="B229" s="96">
        <f>SUBTOTAL(103,$A$16:A229)</f>
        <v>211</v>
      </c>
      <c r="C229" s="94" t="s">
        <v>1464</v>
      </c>
      <c r="D229" s="138">
        <v>1986</v>
      </c>
      <c r="E229" s="138"/>
      <c r="F229" s="167" t="s">
        <v>326</v>
      </c>
      <c r="G229" s="138">
        <v>9</v>
      </c>
      <c r="H229" s="138">
        <v>3</v>
      </c>
      <c r="I229" s="130">
        <v>7745.7</v>
      </c>
      <c r="J229" s="130">
        <v>7042.6</v>
      </c>
      <c r="K229" s="130">
        <v>5847.8</v>
      </c>
      <c r="L229" s="139">
        <v>220</v>
      </c>
      <c r="M229" s="138" t="s">
        <v>271</v>
      </c>
      <c r="N229" s="138" t="s">
        <v>275</v>
      </c>
      <c r="O229" s="136" t="s">
        <v>1470</v>
      </c>
      <c r="P229" s="130">
        <v>5917123.5099999998</v>
      </c>
      <c r="Q229" s="130">
        <v>0</v>
      </c>
      <c r="R229" s="130">
        <v>0</v>
      </c>
      <c r="S229" s="130">
        <f t="shared" si="22"/>
        <v>5917123.5099999998</v>
      </c>
      <c r="T229" s="130">
        <f t="shared" si="23"/>
        <v>763.92366216094092</v>
      </c>
      <c r="U229" s="130">
        <v>870.79398892288623</v>
      </c>
    </row>
    <row r="230" spans="1:21" s="64" customFormat="1" ht="36" customHeight="1" x14ac:dyDescent="0.9">
      <c r="A230" s="64">
        <v>1</v>
      </c>
      <c r="B230" s="96">
        <f>SUBTOTAL(103,$A$16:A230)</f>
        <v>212</v>
      </c>
      <c r="C230" s="94" t="s">
        <v>1465</v>
      </c>
      <c r="D230" s="138">
        <v>1986</v>
      </c>
      <c r="E230" s="138"/>
      <c r="F230" s="167" t="s">
        <v>326</v>
      </c>
      <c r="G230" s="138">
        <v>9</v>
      </c>
      <c r="H230" s="138">
        <v>4</v>
      </c>
      <c r="I230" s="130">
        <v>8861.6</v>
      </c>
      <c r="J230" s="130">
        <v>7955.2</v>
      </c>
      <c r="K230" s="130">
        <v>7895.7</v>
      </c>
      <c r="L230" s="139">
        <v>295</v>
      </c>
      <c r="M230" s="138" t="s">
        <v>271</v>
      </c>
      <c r="N230" s="138" t="s">
        <v>305</v>
      </c>
      <c r="O230" s="136" t="s">
        <v>1471</v>
      </c>
      <c r="P230" s="130">
        <v>7896847.4199999999</v>
      </c>
      <c r="Q230" s="130">
        <v>0</v>
      </c>
      <c r="R230" s="130">
        <v>0</v>
      </c>
      <c r="S230" s="130">
        <f t="shared" si="22"/>
        <v>7896847.4199999999</v>
      </c>
      <c r="T230" s="130">
        <f t="shared" si="23"/>
        <v>891.13110724925514</v>
      </c>
      <c r="U230" s="130">
        <v>1014.8519454726008</v>
      </c>
    </row>
    <row r="231" spans="1:21" s="64" customFormat="1" ht="36" customHeight="1" x14ac:dyDescent="0.9">
      <c r="A231" s="64">
        <v>1</v>
      </c>
      <c r="B231" s="96">
        <f>SUBTOTAL(103,$A$16:A231)</f>
        <v>213</v>
      </c>
      <c r="C231" s="94" t="s">
        <v>1466</v>
      </c>
      <c r="D231" s="138">
        <v>1988</v>
      </c>
      <c r="E231" s="138"/>
      <c r="F231" s="167" t="s">
        <v>326</v>
      </c>
      <c r="G231" s="138">
        <v>9</v>
      </c>
      <c r="H231" s="138">
        <v>3</v>
      </c>
      <c r="I231" s="130">
        <v>6529.9</v>
      </c>
      <c r="J231" s="130">
        <v>5819.3</v>
      </c>
      <c r="K231" s="130">
        <v>5819.3</v>
      </c>
      <c r="L231" s="139">
        <v>281</v>
      </c>
      <c r="M231" s="138" t="s">
        <v>271</v>
      </c>
      <c r="N231" s="138" t="s">
        <v>275</v>
      </c>
      <c r="O231" s="136" t="s">
        <v>1472</v>
      </c>
      <c r="P231" s="130">
        <v>5718113.29</v>
      </c>
      <c r="Q231" s="130">
        <v>0</v>
      </c>
      <c r="R231" s="130">
        <v>0</v>
      </c>
      <c r="S231" s="130">
        <f t="shared" si="22"/>
        <v>5718113.29</v>
      </c>
      <c r="T231" s="130">
        <f t="shared" si="23"/>
        <v>875.68160155591977</v>
      </c>
      <c r="U231" s="130">
        <v>1032.9268442089467</v>
      </c>
    </row>
    <row r="232" spans="1:21" s="64" customFormat="1" ht="36" customHeight="1" x14ac:dyDescent="0.9">
      <c r="A232" s="64">
        <v>1</v>
      </c>
      <c r="B232" s="96">
        <f>SUBTOTAL(103,$A$16:A232)</f>
        <v>214</v>
      </c>
      <c r="C232" s="94" t="s">
        <v>1467</v>
      </c>
      <c r="D232" s="138">
        <v>1986</v>
      </c>
      <c r="E232" s="138"/>
      <c r="F232" s="167" t="s">
        <v>326</v>
      </c>
      <c r="G232" s="138">
        <v>9</v>
      </c>
      <c r="H232" s="138">
        <v>4</v>
      </c>
      <c r="I232" s="130">
        <v>9402.14</v>
      </c>
      <c r="J232" s="130">
        <v>7377.1</v>
      </c>
      <c r="K232" s="130">
        <v>6958.4</v>
      </c>
      <c r="L232" s="139">
        <v>323</v>
      </c>
      <c r="M232" s="138" t="s">
        <v>271</v>
      </c>
      <c r="N232" s="138" t="s">
        <v>275</v>
      </c>
      <c r="O232" s="136" t="s">
        <v>845</v>
      </c>
      <c r="P232" s="130">
        <v>7415740.3399999999</v>
      </c>
      <c r="Q232" s="130">
        <v>0</v>
      </c>
      <c r="R232" s="130">
        <v>0</v>
      </c>
      <c r="S232" s="130">
        <f t="shared" si="22"/>
        <v>7415740.3399999999</v>
      </c>
      <c r="T232" s="130">
        <f t="shared" si="23"/>
        <v>788.72898510339144</v>
      </c>
      <c r="U232" s="130">
        <v>956.50692289202254</v>
      </c>
    </row>
    <row r="233" spans="1:21" s="64" customFormat="1" ht="36" customHeight="1" x14ac:dyDescent="0.9">
      <c r="A233" s="64">
        <v>1</v>
      </c>
      <c r="B233" s="96">
        <f>SUBTOTAL(103,$A$16:A233)</f>
        <v>215</v>
      </c>
      <c r="C233" s="94" t="s">
        <v>1468</v>
      </c>
      <c r="D233" s="138">
        <v>1987</v>
      </c>
      <c r="E233" s="138"/>
      <c r="F233" s="167" t="s">
        <v>273</v>
      </c>
      <c r="G233" s="138">
        <v>9</v>
      </c>
      <c r="H233" s="138">
        <v>3</v>
      </c>
      <c r="I233" s="130">
        <v>8041.69</v>
      </c>
      <c r="J233" s="130">
        <v>5941.7</v>
      </c>
      <c r="K233" s="130">
        <v>5297.4</v>
      </c>
      <c r="L233" s="139">
        <v>206</v>
      </c>
      <c r="M233" s="138" t="s">
        <v>271</v>
      </c>
      <c r="N233" s="138" t="s">
        <v>275</v>
      </c>
      <c r="O233" s="136" t="s">
        <v>848</v>
      </c>
      <c r="P233" s="130">
        <v>5751152.0999999996</v>
      </c>
      <c r="Q233" s="130">
        <v>0</v>
      </c>
      <c r="R233" s="130">
        <v>0</v>
      </c>
      <c r="S233" s="130">
        <f t="shared" si="22"/>
        <v>5751152.0999999996</v>
      </c>
      <c r="T233" s="130">
        <f t="shared" si="23"/>
        <v>715.16709796075202</v>
      </c>
      <c r="U233" s="130">
        <v>838.74272696410833</v>
      </c>
    </row>
    <row r="234" spans="1:21" s="64" customFormat="1" ht="36" customHeight="1" x14ac:dyDescent="0.9">
      <c r="A234" s="64">
        <v>1</v>
      </c>
      <c r="B234" s="96">
        <f>SUBTOTAL(103,$A$16:A234)</f>
        <v>216</v>
      </c>
      <c r="C234" s="94" t="s">
        <v>1634</v>
      </c>
      <c r="D234" s="138">
        <v>1986</v>
      </c>
      <c r="E234" s="138"/>
      <c r="F234" s="167" t="s">
        <v>273</v>
      </c>
      <c r="G234" s="138">
        <v>9</v>
      </c>
      <c r="H234" s="138">
        <v>1</v>
      </c>
      <c r="I234" s="130">
        <v>6210.09</v>
      </c>
      <c r="J234" s="130">
        <v>3555.69</v>
      </c>
      <c r="K234" s="130">
        <v>3353.49</v>
      </c>
      <c r="L234" s="139">
        <v>294</v>
      </c>
      <c r="M234" s="138" t="s">
        <v>271</v>
      </c>
      <c r="N234" s="138" t="s">
        <v>275</v>
      </c>
      <c r="O234" s="136" t="s">
        <v>1470</v>
      </c>
      <c r="P234" s="130">
        <v>1473755.92</v>
      </c>
      <c r="Q234" s="130">
        <v>0</v>
      </c>
      <c r="R234" s="130">
        <v>0</v>
      </c>
      <c r="S234" s="130">
        <f t="shared" ref="S234:S236" si="24">P234-R234-Q234</f>
        <v>1473755.92</v>
      </c>
      <c r="T234" s="130">
        <f t="shared" si="23"/>
        <v>237.31635451338062</v>
      </c>
      <c r="U234" s="130">
        <v>362.04032469738763</v>
      </c>
    </row>
    <row r="235" spans="1:21" s="64" customFormat="1" ht="36" customHeight="1" x14ac:dyDescent="0.9">
      <c r="A235" s="64">
        <v>1</v>
      </c>
      <c r="B235" s="96">
        <f>SUBTOTAL(103,$A$16:A235)</f>
        <v>217</v>
      </c>
      <c r="C235" s="94" t="s">
        <v>1635</v>
      </c>
      <c r="D235" s="138">
        <v>1984</v>
      </c>
      <c r="E235" s="138"/>
      <c r="F235" s="167" t="s">
        <v>326</v>
      </c>
      <c r="G235" s="138">
        <v>9</v>
      </c>
      <c r="H235" s="138">
        <v>2</v>
      </c>
      <c r="I235" s="130">
        <v>4373.8</v>
      </c>
      <c r="J235" s="130">
        <v>3897.5</v>
      </c>
      <c r="K235" s="130">
        <v>3897.5</v>
      </c>
      <c r="L235" s="139">
        <v>156</v>
      </c>
      <c r="M235" s="138" t="s">
        <v>271</v>
      </c>
      <c r="N235" s="138" t="s">
        <v>275</v>
      </c>
      <c r="O235" s="136" t="s">
        <v>1470</v>
      </c>
      <c r="P235" s="130">
        <v>3944749.01</v>
      </c>
      <c r="Q235" s="130">
        <v>0</v>
      </c>
      <c r="R235" s="130">
        <v>0</v>
      </c>
      <c r="S235" s="130">
        <f t="shared" si="24"/>
        <v>3944749.01</v>
      </c>
      <c r="T235" s="130">
        <f t="shared" si="23"/>
        <v>901.90429603548398</v>
      </c>
      <c r="U235" s="130">
        <v>1028.0776441538251</v>
      </c>
    </row>
    <row r="236" spans="1:21" s="64" customFormat="1" ht="36" customHeight="1" x14ac:dyDescent="0.9">
      <c r="A236" s="64">
        <v>1</v>
      </c>
      <c r="B236" s="96">
        <f>SUBTOTAL(103,$A$16:A236)</f>
        <v>218</v>
      </c>
      <c r="C236" s="94" t="s">
        <v>1636</v>
      </c>
      <c r="D236" s="138">
        <v>1984</v>
      </c>
      <c r="E236" s="138"/>
      <c r="F236" s="167" t="s">
        <v>326</v>
      </c>
      <c r="G236" s="138">
        <v>9</v>
      </c>
      <c r="H236" s="138">
        <v>3</v>
      </c>
      <c r="I236" s="130">
        <v>7442.2</v>
      </c>
      <c r="J236" s="130">
        <v>5845.6</v>
      </c>
      <c r="K236" s="130">
        <v>5845.6</v>
      </c>
      <c r="L236" s="139">
        <v>233</v>
      </c>
      <c r="M236" s="138" t="s">
        <v>271</v>
      </c>
      <c r="N236" s="138" t="s">
        <v>275</v>
      </c>
      <c r="O236" s="136" t="s">
        <v>1676</v>
      </c>
      <c r="P236" s="130">
        <v>4419587</v>
      </c>
      <c r="Q236" s="130">
        <v>0</v>
      </c>
      <c r="R236" s="130">
        <v>0</v>
      </c>
      <c r="S236" s="130">
        <f t="shared" si="24"/>
        <v>4419587</v>
      </c>
      <c r="T236" s="130">
        <f t="shared" si="23"/>
        <v>593.85490849479993</v>
      </c>
      <c r="U236" s="130">
        <v>906.30579667302686</v>
      </c>
    </row>
    <row r="237" spans="1:21" s="64" customFormat="1" ht="36" customHeight="1" x14ac:dyDescent="0.9">
      <c r="B237" s="94" t="s">
        <v>801</v>
      </c>
      <c r="C237" s="126"/>
      <c r="D237" s="138" t="s">
        <v>934</v>
      </c>
      <c r="E237" s="138" t="s">
        <v>934</v>
      </c>
      <c r="F237" s="138" t="s">
        <v>934</v>
      </c>
      <c r="G237" s="138" t="s">
        <v>934</v>
      </c>
      <c r="H237" s="138" t="s">
        <v>934</v>
      </c>
      <c r="I237" s="129">
        <f>SUM(I238:I243)</f>
        <v>42084.039999999994</v>
      </c>
      <c r="J237" s="129">
        <f t="shared" ref="J237:L237" si="25">SUM(J238:J243)</f>
        <v>37181.1</v>
      </c>
      <c r="K237" s="129">
        <f t="shared" si="25"/>
        <v>32818.75</v>
      </c>
      <c r="L237" s="139">
        <f t="shared" si="25"/>
        <v>1883</v>
      </c>
      <c r="M237" s="138" t="s">
        <v>934</v>
      </c>
      <c r="N237" s="138" t="s">
        <v>934</v>
      </c>
      <c r="O237" s="136" t="s">
        <v>934</v>
      </c>
      <c r="P237" s="129">
        <v>51784138.459999993</v>
      </c>
      <c r="Q237" s="129">
        <f t="shared" ref="Q237:S237" si="26">SUM(Q238:Q243)</f>
        <v>0</v>
      </c>
      <c r="R237" s="129">
        <f t="shared" si="26"/>
        <v>0</v>
      </c>
      <c r="S237" s="129">
        <f t="shared" si="26"/>
        <v>51784138.459999993</v>
      </c>
      <c r="T237" s="130">
        <f t="shared" si="23"/>
        <v>1230.4935186830921</v>
      </c>
      <c r="U237" s="130">
        <f>MAX(U238:U243)</f>
        <v>5072.6823286018052</v>
      </c>
    </row>
    <row r="238" spans="1:21" s="64" customFormat="1" ht="36" customHeight="1" x14ac:dyDescent="0.9">
      <c r="A238" s="64">
        <v>1</v>
      </c>
      <c r="B238" s="96">
        <f>SUBTOTAL(103,$A$16:A238)</f>
        <v>219</v>
      </c>
      <c r="C238" s="94" t="s">
        <v>395</v>
      </c>
      <c r="D238" s="138">
        <v>1976</v>
      </c>
      <c r="E238" s="138">
        <v>2016</v>
      </c>
      <c r="F238" s="167" t="s">
        <v>319</v>
      </c>
      <c r="G238" s="138">
        <v>14</v>
      </c>
      <c r="H238" s="138">
        <v>1</v>
      </c>
      <c r="I238" s="130">
        <v>4634.7</v>
      </c>
      <c r="J238" s="130">
        <v>4158.8</v>
      </c>
      <c r="K238" s="130">
        <v>3879.6</v>
      </c>
      <c r="L238" s="139">
        <v>198</v>
      </c>
      <c r="M238" s="138" t="s">
        <v>271</v>
      </c>
      <c r="N238" s="138" t="s">
        <v>275</v>
      </c>
      <c r="O238" s="136" t="s">
        <v>327</v>
      </c>
      <c r="P238" s="130">
        <v>2730433.31</v>
      </c>
      <c r="Q238" s="130">
        <v>0</v>
      </c>
      <c r="R238" s="130">
        <v>0</v>
      </c>
      <c r="S238" s="130">
        <f t="shared" ref="S238:S242" si="27">P238-Q238-R238</f>
        <v>2730433.31</v>
      </c>
      <c r="T238" s="130">
        <f t="shared" si="23"/>
        <v>589.12838155651934</v>
      </c>
      <c r="U238" s="130">
        <v>592.97605368200743</v>
      </c>
    </row>
    <row r="239" spans="1:21" s="64" customFormat="1" ht="36" customHeight="1" x14ac:dyDescent="0.9">
      <c r="A239" s="64">
        <v>1</v>
      </c>
      <c r="B239" s="96">
        <f>SUBTOTAL(103,$A$16:A239)</f>
        <v>220</v>
      </c>
      <c r="C239" s="94" t="s">
        <v>396</v>
      </c>
      <c r="D239" s="138">
        <v>1983</v>
      </c>
      <c r="E239" s="138">
        <v>2016</v>
      </c>
      <c r="F239" s="167" t="s">
        <v>319</v>
      </c>
      <c r="G239" s="138">
        <v>5</v>
      </c>
      <c r="H239" s="138">
        <v>5</v>
      </c>
      <c r="I239" s="130">
        <v>3913.2000000000003</v>
      </c>
      <c r="J239" s="130">
        <v>3443.4</v>
      </c>
      <c r="K239" s="130">
        <v>3334.1</v>
      </c>
      <c r="L239" s="139">
        <v>163</v>
      </c>
      <c r="M239" s="138" t="s">
        <v>271</v>
      </c>
      <c r="N239" s="138" t="s">
        <v>275</v>
      </c>
      <c r="O239" s="136" t="s">
        <v>327</v>
      </c>
      <c r="P239" s="130">
        <v>6120000</v>
      </c>
      <c r="Q239" s="130">
        <v>0</v>
      </c>
      <c r="R239" s="130">
        <v>0</v>
      </c>
      <c r="S239" s="130">
        <f t="shared" si="27"/>
        <v>6120000</v>
      </c>
      <c r="T239" s="130">
        <f t="shared" si="23"/>
        <v>1563.9374425022997</v>
      </c>
      <c r="U239" s="130">
        <v>4633.3533210671576</v>
      </c>
    </row>
    <row r="240" spans="1:21" s="64" customFormat="1" ht="36" customHeight="1" x14ac:dyDescent="0.9">
      <c r="A240" s="64">
        <v>1</v>
      </c>
      <c r="B240" s="96">
        <f>SUBTOTAL(103,$A$16:A240)</f>
        <v>221</v>
      </c>
      <c r="C240" s="94" t="s">
        <v>397</v>
      </c>
      <c r="D240" s="138">
        <v>1980</v>
      </c>
      <c r="E240" s="138">
        <v>2015</v>
      </c>
      <c r="F240" s="167" t="s">
        <v>319</v>
      </c>
      <c r="G240" s="138">
        <v>9</v>
      </c>
      <c r="H240" s="138">
        <v>5</v>
      </c>
      <c r="I240" s="130">
        <v>12180.699999999999</v>
      </c>
      <c r="J240" s="130">
        <v>10849.3</v>
      </c>
      <c r="K240" s="130">
        <v>10778.1</v>
      </c>
      <c r="L240" s="139">
        <v>498</v>
      </c>
      <c r="M240" s="138" t="s">
        <v>271</v>
      </c>
      <c r="N240" s="138" t="s">
        <v>275</v>
      </c>
      <c r="O240" s="136" t="s">
        <v>327</v>
      </c>
      <c r="P240" s="130">
        <v>14515249.970000001</v>
      </c>
      <c r="Q240" s="130">
        <v>0</v>
      </c>
      <c r="R240" s="130">
        <v>0</v>
      </c>
      <c r="S240" s="130">
        <f t="shared" si="27"/>
        <v>14515249.970000001</v>
      </c>
      <c r="T240" s="130">
        <f t="shared" si="23"/>
        <v>1191.6597543655128</v>
      </c>
      <c r="U240" s="130">
        <v>5072.6823286018052</v>
      </c>
    </row>
    <row r="241" spans="1:21" s="64" customFormat="1" ht="36" customHeight="1" x14ac:dyDescent="0.9">
      <c r="A241" s="64">
        <v>1</v>
      </c>
      <c r="B241" s="96">
        <f>SUBTOTAL(103,$A$16:A241)</f>
        <v>222</v>
      </c>
      <c r="C241" s="94" t="s">
        <v>1245</v>
      </c>
      <c r="D241" s="138">
        <v>1979</v>
      </c>
      <c r="E241" s="138">
        <v>2016</v>
      </c>
      <c r="F241" s="167" t="s">
        <v>326</v>
      </c>
      <c r="G241" s="138">
        <v>9</v>
      </c>
      <c r="H241" s="138">
        <v>4</v>
      </c>
      <c r="I241" s="130">
        <v>7780.54</v>
      </c>
      <c r="J241" s="130">
        <v>7022.3</v>
      </c>
      <c r="K241" s="130">
        <v>6468.65</v>
      </c>
      <c r="L241" s="139">
        <v>388</v>
      </c>
      <c r="M241" s="138" t="s">
        <v>271</v>
      </c>
      <c r="N241" s="138" t="s">
        <v>275</v>
      </c>
      <c r="O241" s="136" t="s">
        <v>327</v>
      </c>
      <c r="P241" s="130">
        <v>16346897.049999999</v>
      </c>
      <c r="Q241" s="130">
        <v>0</v>
      </c>
      <c r="R241" s="130">
        <v>0</v>
      </c>
      <c r="S241" s="130">
        <f t="shared" si="27"/>
        <v>16346897.049999999</v>
      </c>
      <c r="T241" s="130">
        <f t="shared" si="23"/>
        <v>2100.9977520840453</v>
      </c>
      <c r="U241" s="130">
        <v>3929.63</v>
      </c>
    </row>
    <row r="242" spans="1:21" s="64" customFormat="1" ht="36" customHeight="1" x14ac:dyDescent="0.9">
      <c r="A242" s="64">
        <v>1</v>
      </c>
      <c r="B242" s="96">
        <f>SUBTOTAL(103,$A$16:A242)</f>
        <v>223</v>
      </c>
      <c r="C242" s="94" t="s">
        <v>1246</v>
      </c>
      <c r="D242" s="138">
        <v>1985</v>
      </c>
      <c r="E242" s="138">
        <v>2018</v>
      </c>
      <c r="F242" s="167" t="s">
        <v>273</v>
      </c>
      <c r="G242" s="138">
        <v>9</v>
      </c>
      <c r="H242" s="138">
        <v>1</v>
      </c>
      <c r="I242" s="130">
        <v>4711.6000000000004</v>
      </c>
      <c r="J242" s="130">
        <v>3875.8</v>
      </c>
      <c r="K242" s="130">
        <v>955.8</v>
      </c>
      <c r="L242" s="139">
        <v>354</v>
      </c>
      <c r="M242" s="138" t="s">
        <v>271</v>
      </c>
      <c r="N242" s="138" t="s">
        <v>275</v>
      </c>
      <c r="O242" s="136" t="s">
        <v>1425</v>
      </c>
      <c r="P242" s="130">
        <v>3937920.29</v>
      </c>
      <c r="Q242" s="130">
        <v>0</v>
      </c>
      <c r="R242" s="130">
        <v>0</v>
      </c>
      <c r="S242" s="130">
        <f t="shared" si="27"/>
        <v>3937920.29</v>
      </c>
      <c r="T242" s="130">
        <f t="shared" si="23"/>
        <v>835.79257364801765</v>
      </c>
      <c r="U242" s="130">
        <v>954.3692164020714</v>
      </c>
    </row>
    <row r="243" spans="1:21" s="64" customFormat="1" ht="36" customHeight="1" x14ac:dyDescent="0.9">
      <c r="A243" s="64">
        <v>1</v>
      </c>
      <c r="B243" s="96">
        <f>SUBTOTAL(103,$A$16:A243)</f>
        <v>224</v>
      </c>
      <c r="C243" s="94" t="s">
        <v>1653</v>
      </c>
      <c r="D243" s="138">
        <v>1971</v>
      </c>
      <c r="E243" s="138">
        <v>2015</v>
      </c>
      <c r="F243" s="167" t="s">
        <v>273</v>
      </c>
      <c r="G243" s="138">
        <v>9</v>
      </c>
      <c r="H243" s="138">
        <v>4</v>
      </c>
      <c r="I243" s="130">
        <v>8863.2999999999993</v>
      </c>
      <c r="J243" s="130">
        <v>7831.5</v>
      </c>
      <c r="K243" s="130">
        <v>7402.5</v>
      </c>
      <c r="L243" s="139">
        <v>282</v>
      </c>
      <c r="M243" s="138" t="s">
        <v>271</v>
      </c>
      <c r="N243" s="138" t="s">
        <v>275</v>
      </c>
      <c r="O243" s="136" t="s">
        <v>1425</v>
      </c>
      <c r="P243" s="130">
        <v>8133637.8399999989</v>
      </c>
      <c r="Q243" s="130">
        <v>0</v>
      </c>
      <c r="R243" s="130">
        <v>0</v>
      </c>
      <c r="S243" s="130">
        <f>P243-R243-Q243</f>
        <v>8133637.8399999989</v>
      </c>
      <c r="T243" s="130">
        <f t="shared" si="23"/>
        <v>917.67601683345924</v>
      </c>
      <c r="U243" s="130">
        <v>1014.6572946870805</v>
      </c>
    </row>
    <row r="244" spans="1:21" s="64" customFormat="1" ht="36" customHeight="1" x14ac:dyDescent="0.9">
      <c r="B244" s="94" t="s">
        <v>858</v>
      </c>
      <c r="C244" s="126"/>
      <c r="D244" s="138" t="s">
        <v>934</v>
      </c>
      <c r="E244" s="138" t="s">
        <v>934</v>
      </c>
      <c r="F244" s="138" t="s">
        <v>934</v>
      </c>
      <c r="G244" s="138" t="s">
        <v>934</v>
      </c>
      <c r="H244" s="138" t="s">
        <v>934</v>
      </c>
      <c r="I244" s="129">
        <f>SUM(I245:I272)</f>
        <v>91679.400000000009</v>
      </c>
      <c r="J244" s="129">
        <f t="shared" ref="J244:L244" si="28">SUM(J245:J272)</f>
        <v>73359.17</v>
      </c>
      <c r="K244" s="129">
        <f t="shared" si="28"/>
        <v>71372.390000000014</v>
      </c>
      <c r="L244" s="139">
        <f t="shared" si="28"/>
        <v>3487</v>
      </c>
      <c r="M244" s="138" t="s">
        <v>934</v>
      </c>
      <c r="N244" s="138" t="s">
        <v>934</v>
      </c>
      <c r="O244" s="136" t="s">
        <v>934</v>
      </c>
      <c r="P244" s="129">
        <v>113740245.04000002</v>
      </c>
      <c r="Q244" s="129">
        <f t="shared" ref="Q244:S244" si="29">SUM(Q245:Q272)</f>
        <v>0</v>
      </c>
      <c r="R244" s="129">
        <f t="shared" si="29"/>
        <v>0</v>
      </c>
      <c r="S244" s="129">
        <f t="shared" si="29"/>
        <v>113740245.04000002</v>
      </c>
      <c r="T244" s="130">
        <f t="shared" si="23"/>
        <v>1240.6303383311847</v>
      </c>
      <c r="U244" s="130">
        <f>MAX(U245:U272)</f>
        <v>12133.617881230117</v>
      </c>
    </row>
    <row r="245" spans="1:21" s="64" customFormat="1" ht="36" customHeight="1" x14ac:dyDescent="0.9">
      <c r="A245" s="64">
        <v>1</v>
      </c>
      <c r="B245" s="96">
        <f>SUBTOTAL(103,$A$16:A245)</f>
        <v>225</v>
      </c>
      <c r="C245" s="94" t="s">
        <v>652</v>
      </c>
      <c r="D245" s="138">
        <v>1987</v>
      </c>
      <c r="E245" s="138"/>
      <c r="F245" s="167" t="s">
        <v>273</v>
      </c>
      <c r="G245" s="138">
        <v>10</v>
      </c>
      <c r="H245" s="138">
        <v>1</v>
      </c>
      <c r="I245" s="130">
        <v>3669.9</v>
      </c>
      <c r="J245" s="130">
        <v>1997.7</v>
      </c>
      <c r="K245" s="130">
        <v>1997.7</v>
      </c>
      <c r="L245" s="139">
        <v>156</v>
      </c>
      <c r="M245" s="138" t="s">
        <v>271</v>
      </c>
      <c r="N245" s="138" t="s">
        <v>349</v>
      </c>
      <c r="O245" s="136" t="s">
        <v>745</v>
      </c>
      <c r="P245" s="130">
        <v>4514092.07</v>
      </c>
      <c r="Q245" s="130">
        <v>0</v>
      </c>
      <c r="R245" s="130">
        <v>0</v>
      </c>
      <c r="S245" s="130">
        <f t="shared" ref="S245:S271" si="30">P245-Q245-R245</f>
        <v>4514092.07</v>
      </c>
      <c r="T245" s="130">
        <f t="shared" si="23"/>
        <v>1230.0313550777951</v>
      </c>
      <c r="U245" s="130">
        <v>1327.0018256628246</v>
      </c>
    </row>
    <row r="246" spans="1:21" s="64" customFormat="1" ht="36" customHeight="1" x14ac:dyDescent="0.9">
      <c r="A246" s="64">
        <v>1</v>
      </c>
      <c r="B246" s="96">
        <f>SUBTOTAL(103,$A$16:A246)</f>
        <v>226</v>
      </c>
      <c r="C246" s="94" t="s">
        <v>657</v>
      </c>
      <c r="D246" s="138">
        <v>1967</v>
      </c>
      <c r="E246" s="138"/>
      <c r="F246" s="167" t="s">
        <v>273</v>
      </c>
      <c r="G246" s="138">
        <v>5</v>
      </c>
      <c r="H246" s="138">
        <v>4</v>
      </c>
      <c r="I246" s="130">
        <v>3578.24</v>
      </c>
      <c r="J246" s="130">
        <v>3578.24</v>
      </c>
      <c r="K246" s="130">
        <v>3012.01</v>
      </c>
      <c r="L246" s="139">
        <v>120</v>
      </c>
      <c r="M246" s="138" t="s">
        <v>271</v>
      </c>
      <c r="N246" s="138" t="s">
        <v>275</v>
      </c>
      <c r="O246" s="136" t="s">
        <v>746</v>
      </c>
      <c r="P246" s="130">
        <v>6308598.71</v>
      </c>
      <c r="Q246" s="130">
        <v>0</v>
      </c>
      <c r="R246" s="130">
        <v>0</v>
      </c>
      <c r="S246" s="130">
        <f t="shared" si="30"/>
        <v>6308598.71</v>
      </c>
      <c r="T246" s="130">
        <f t="shared" si="23"/>
        <v>1763.0451590726168</v>
      </c>
      <c r="U246" s="130">
        <v>1763.0451601904847</v>
      </c>
    </row>
    <row r="247" spans="1:21" s="64" customFormat="1" ht="36" customHeight="1" x14ac:dyDescent="0.9">
      <c r="A247" s="64">
        <v>1</v>
      </c>
      <c r="B247" s="96">
        <f>SUBTOTAL(103,$A$16:A247)</f>
        <v>227</v>
      </c>
      <c r="C247" s="94" t="s">
        <v>658</v>
      </c>
      <c r="D247" s="138">
        <v>1965</v>
      </c>
      <c r="E247" s="138"/>
      <c r="F247" s="167" t="s">
        <v>273</v>
      </c>
      <c r="G247" s="138">
        <v>5</v>
      </c>
      <c r="H247" s="138">
        <v>2</v>
      </c>
      <c r="I247" s="130">
        <v>4985.66</v>
      </c>
      <c r="J247" s="130">
        <v>2300.6799999999998</v>
      </c>
      <c r="K247" s="130">
        <v>2300.6799999999998</v>
      </c>
      <c r="L247" s="139">
        <v>202</v>
      </c>
      <c r="M247" s="138" t="s">
        <v>271</v>
      </c>
      <c r="N247" s="138" t="s">
        <v>275</v>
      </c>
      <c r="O247" s="136" t="s">
        <v>747</v>
      </c>
      <c r="P247" s="130">
        <v>13470892.08</v>
      </c>
      <c r="Q247" s="130">
        <v>0</v>
      </c>
      <c r="R247" s="130">
        <v>0</v>
      </c>
      <c r="S247" s="130">
        <f t="shared" si="30"/>
        <v>13470892.08</v>
      </c>
      <c r="T247" s="130">
        <f t="shared" si="23"/>
        <v>2701.9275441967566</v>
      </c>
      <c r="U247" s="130">
        <v>2851.7873300626197</v>
      </c>
    </row>
    <row r="248" spans="1:21" s="64" customFormat="1" ht="36" customHeight="1" x14ac:dyDescent="0.9">
      <c r="A248" s="64">
        <v>1</v>
      </c>
      <c r="B248" s="96">
        <f>SUBTOTAL(103,$A$16:A248)</f>
        <v>228</v>
      </c>
      <c r="C248" s="94" t="s">
        <v>661</v>
      </c>
      <c r="D248" s="138">
        <v>1993</v>
      </c>
      <c r="E248" s="138"/>
      <c r="F248" s="167" t="s">
        <v>319</v>
      </c>
      <c r="G248" s="138">
        <v>9</v>
      </c>
      <c r="H248" s="138">
        <v>2</v>
      </c>
      <c r="I248" s="130">
        <v>5060.3</v>
      </c>
      <c r="J248" s="130">
        <v>2946.8</v>
      </c>
      <c r="K248" s="130">
        <v>2946.8</v>
      </c>
      <c r="L248" s="139">
        <v>281</v>
      </c>
      <c r="M248" s="138" t="s">
        <v>271</v>
      </c>
      <c r="N248" s="138" t="s">
        <v>275</v>
      </c>
      <c r="O248" s="136" t="s">
        <v>748</v>
      </c>
      <c r="P248" s="130">
        <v>4304343</v>
      </c>
      <c r="Q248" s="130">
        <v>0</v>
      </c>
      <c r="R248" s="130">
        <v>0</v>
      </c>
      <c r="S248" s="130">
        <f t="shared" si="30"/>
        <v>4304343</v>
      </c>
      <c r="T248" s="130">
        <f t="shared" si="23"/>
        <v>850.61024049957507</v>
      </c>
      <c r="U248" s="130">
        <v>889.20488706203196</v>
      </c>
    </row>
    <row r="249" spans="1:21" s="64" customFormat="1" ht="36" customHeight="1" x14ac:dyDescent="0.9">
      <c r="A249" s="64">
        <v>1</v>
      </c>
      <c r="B249" s="96">
        <f>SUBTOTAL(103,$A$16:A249)</f>
        <v>229</v>
      </c>
      <c r="C249" s="94" t="s">
        <v>663</v>
      </c>
      <c r="D249" s="138">
        <v>1959</v>
      </c>
      <c r="E249" s="138"/>
      <c r="F249" s="167" t="s">
        <v>273</v>
      </c>
      <c r="G249" s="138">
        <v>2</v>
      </c>
      <c r="H249" s="138">
        <v>2</v>
      </c>
      <c r="I249" s="130">
        <v>606.79999999999995</v>
      </c>
      <c r="J249" s="130">
        <v>525.79999999999995</v>
      </c>
      <c r="K249" s="130">
        <v>525.79999999999995</v>
      </c>
      <c r="L249" s="139">
        <v>29</v>
      </c>
      <c r="M249" s="138" t="s">
        <v>271</v>
      </c>
      <c r="N249" s="138" t="s">
        <v>275</v>
      </c>
      <c r="O249" s="136" t="s">
        <v>746</v>
      </c>
      <c r="P249" s="130">
        <v>2666187.4300000002</v>
      </c>
      <c r="Q249" s="130">
        <v>0</v>
      </c>
      <c r="R249" s="130">
        <v>0</v>
      </c>
      <c r="S249" s="130">
        <f t="shared" si="30"/>
        <v>2666187.4300000002</v>
      </c>
      <c r="T249" s="130">
        <f t="shared" si="23"/>
        <v>4393.8487640079111</v>
      </c>
      <c r="U249" s="130">
        <v>4961.5014502307195</v>
      </c>
    </row>
    <row r="250" spans="1:21" s="64" customFormat="1" ht="36" customHeight="1" x14ac:dyDescent="0.9">
      <c r="A250" s="64">
        <v>1</v>
      </c>
      <c r="B250" s="96">
        <f>SUBTOTAL(103,$A$16:A250)</f>
        <v>230</v>
      </c>
      <c r="C250" s="94" t="s">
        <v>666</v>
      </c>
      <c r="D250" s="138">
        <v>1965</v>
      </c>
      <c r="E250" s="138"/>
      <c r="F250" s="167" t="s">
        <v>273</v>
      </c>
      <c r="G250" s="138">
        <v>5</v>
      </c>
      <c r="H250" s="138">
        <v>2</v>
      </c>
      <c r="I250" s="130">
        <v>2026.2</v>
      </c>
      <c r="J250" s="130">
        <v>1565.4</v>
      </c>
      <c r="K250" s="130">
        <v>1565.4</v>
      </c>
      <c r="L250" s="139">
        <v>104</v>
      </c>
      <c r="M250" s="138" t="s">
        <v>271</v>
      </c>
      <c r="N250" s="138" t="s">
        <v>275</v>
      </c>
      <c r="O250" s="136" t="s">
        <v>748</v>
      </c>
      <c r="P250" s="130">
        <v>3587039.29</v>
      </c>
      <c r="Q250" s="130">
        <v>0</v>
      </c>
      <c r="R250" s="130">
        <v>0</v>
      </c>
      <c r="S250" s="130">
        <f t="shared" si="30"/>
        <v>3587039.29</v>
      </c>
      <c r="T250" s="130">
        <f t="shared" si="23"/>
        <v>1770.3283436975619</v>
      </c>
      <c r="U250" s="130">
        <v>1999.0416543282993</v>
      </c>
    </row>
    <row r="251" spans="1:21" s="64" customFormat="1" ht="36" customHeight="1" x14ac:dyDescent="0.9">
      <c r="A251" s="64">
        <v>1</v>
      </c>
      <c r="B251" s="96">
        <f>SUBTOTAL(103,$A$16:A251)</f>
        <v>231</v>
      </c>
      <c r="C251" s="94" t="s">
        <v>667</v>
      </c>
      <c r="D251" s="138">
        <v>1963</v>
      </c>
      <c r="E251" s="138"/>
      <c r="F251" s="167" t="s">
        <v>273</v>
      </c>
      <c r="G251" s="138">
        <v>2</v>
      </c>
      <c r="H251" s="138">
        <v>1</v>
      </c>
      <c r="I251" s="130">
        <v>429.2</v>
      </c>
      <c r="J251" s="130">
        <v>388.96</v>
      </c>
      <c r="K251" s="130">
        <v>388.96</v>
      </c>
      <c r="L251" s="139">
        <v>13</v>
      </c>
      <c r="M251" s="138" t="s">
        <v>271</v>
      </c>
      <c r="N251" s="138" t="s">
        <v>275</v>
      </c>
      <c r="O251" s="136" t="s">
        <v>749</v>
      </c>
      <c r="P251" s="130">
        <v>2302129.7000000002</v>
      </c>
      <c r="Q251" s="130">
        <v>0</v>
      </c>
      <c r="R251" s="130">
        <v>0</v>
      </c>
      <c r="S251" s="130">
        <f t="shared" si="30"/>
        <v>2302129.7000000002</v>
      </c>
      <c r="T251" s="130">
        <f t="shared" si="23"/>
        <v>5363.7691053122089</v>
      </c>
      <c r="U251" s="130">
        <v>6056.7283317800557</v>
      </c>
    </row>
    <row r="252" spans="1:21" s="64" customFormat="1" ht="36" customHeight="1" x14ac:dyDescent="0.9">
      <c r="A252" s="64">
        <v>1</v>
      </c>
      <c r="B252" s="96">
        <f>SUBTOTAL(103,$A$16:A252)</f>
        <v>232</v>
      </c>
      <c r="C252" s="94" t="s">
        <v>668</v>
      </c>
      <c r="D252" s="138">
        <v>1987</v>
      </c>
      <c r="E252" s="138"/>
      <c r="F252" s="167" t="s">
        <v>273</v>
      </c>
      <c r="G252" s="138">
        <v>9</v>
      </c>
      <c r="H252" s="138">
        <v>2</v>
      </c>
      <c r="I252" s="130">
        <v>7472.7</v>
      </c>
      <c r="J252" s="130">
        <v>7472.7</v>
      </c>
      <c r="K252" s="130">
        <v>7472.7</v>
      </c>
      <c r="L252" s="139">
        <v>180</v>
      </c>
      <c r="M252" s="138" t="s">
        <v>271</v>
      </c>
      <c r="N252" s="138" t="s">
        <v>289</v>
      </c>
      <c r="O252" s="136" t="s">
        <v>274</v>
      </c>
      <c r="P252" s="130">
        <v>2058152.04</v>
      </c>
      <c r="Q252" s="130">
        <v>0</v>
      </c>
      <c r="R252" s="130">
        <v>0</v>
      </c>
      <c r="S252" s="130">
        <f t="shared" si="30"/>
        <v>2058152.04</v>
      </c>
      <c r="T252" s="130">
        <f t="shared" si="23"/>
        <v>275.42281103215709</v>
      </c>
      <c r="U252" s="130">
        <v>300.86889611519263</v>
      </c>
    </row>
    <row r="253" spans="1:21" s="64" customFormat="1" ht="36" customHeight="1" x14ac:dyDescent="0.9">
      <c r="A253" s="64">
        <v>1</v>
      </c>
      <c r="B253" s="96">
        <f>SUBTOTAL(103,$A$16:A253)</f>
        <v>233</v>
      </c>
      <c r="C253" s="94" t="s">
        <v>670</v>
      </c>
      <c r="D253" s="138">
        <v>1917</v>
      </c>
      <c r="E253" s="138"/>
      <c r="F253" s="167" t="s">
        <v>273</v>
      </c>
      <c r="G253" s="138">
        <v>2</v>
      </c>
      <c r="H253" s="138">
        <v>1</v>
      </c>
      <c r="I253" s="130">
        <v>237.3</v>
      </c>
      <c r="J253" s="130">
        <v>207.2</v>
      </c>
      <c r="K253" s="130">
        <v>207.2</v>
      </c>
      <c r="L253" s="139">
        <v>13</v>
      </c>
      <c r="M253" s="138" t="s">
        <v>271</v>
      </c>
      <c r="N253" s="138" t="s">
        <v>272</v>
      </c>
      <c r="O253" s="136" t="s">
        <v>274</v>
      </c>
      <c r="P253" s="130">
        <v>1164909.6000000001</v>
      </c>
      <c r="Q253" s="130">
        <v>0</v>
      </c>
      <c r="R253" s="130">
        <v>0</v>
      </c>
      <c r="S253" s="130">
        <f t="shared" si="30"/>
        <v>1164909.6000000001</v>
      </c>
      <c r="T253" s="130">
        <f t="shared" si="23"/>
        <v>4909.0164348925409</v>
      </c>
      <c r="U253" s="130">
        <v>6114.2452591656129</v>
      </c>
    </row>
    <row r="254" spans="1:21" s="64" customFormat="1" ht="36" customHeight="1" x14ac:dyDescent="0.9">
      <c r="A254" s="64">
        <v>1</v>
      </c>
      <c r="B254" s="96">
        <f>SUBTOTAL(103,$A$16:A254)</f>
        <v>234</v>
      </c>
      <c r="C254" s="94" t="s">
        <v>674</v>
      </c>
      <c r="D254" s="138">
        <v>1972</v>
      </c>
      <c r="E254" s="138"/>
      <c r="F254" s="167" t="s">
        <v>273</v>
      </c>
      <c r="G254" s="138">
        <v>5</v>
      </c>
      <c r="H254" s="138">
        <v>1</v>
      </c>
      <c r="I254" s="130">
        <v>1651.99</v>
      </c>
      <c r="J254" s="130">
        <v>1219.19</v>
      </c>
      <c r="K254" s="130">
        <v>1219.19</v>
      </c>
      <c r="L254" s="139">
        <v>231</v>
      </c>
      <c r="M254" s="138" t="s">
        <v>271</v>
      </c>
      <c r="N254" s="138" t="s">
        <v>349</v>
      </c>
      <c r="O254" s="136" t="s">
        <v>750</v>
      </c>
      <c r="P254" s="130">
        <v>2123712.11</v>
      </c>
      <c r="Q254" s="130">
        <v>0</v>
      </c>
      <c r="R254" s="130">
        <v>0</v>
      </c>
      <c r="S254" s="130">
        <f t="shared" si="30"/>
        <v>2123712.11</v>
      </c>
      <c r="T254" s="130">
        <f t="shared" si="23"/>
        <v>1285.5477999261495</v>
      </c>
      <c r="U254" s="130">
        <v>1978.3265491921863</v>
      </c>
    </row>
    <row r="255" spans="1:21" s="64" customFormat="1" ht="36" customHeight="1" x14ac:dyDescent="0.9">
      <c r="A255" s="64">
        <v>1</v>
      </c>
      <c r="B255" s="96">
        <f>SUBTOTAL(103,$A$16:A255)</f>
        <v>235</v>
      </c>
      <c r="C255" s="94" t="s">
        <v>1161</v>
      </c>
      <c r="D255" s="138">
        <v>1965</v>
      </c>
      <c r="E255" s="138"/>
      <c r="F255" s="167" t="s">
        <v>273</v>
      </c>
      <c r="G255" s="138">
        <v>5</v>
      </c>
      <c r="H255" s="138">
        <v>4</v>
      </c>
      <c r="I255" s="130">
        <v>3471.4</v>
      </c>
      <c r="J255" s="130">
        <v>3417.4</v>
      </c>
      <c r="K255" s="130">
        <v>3143.9</v>
      </c>
      <c r="L255" s="139">
        <v>208</v>
      </c>
      <c r="M255" s="138" t="s">
        <v>271</v>
      </c>
      <c r="N255" s="138" t="s">
        <v>275</v>
      </c>
      <c r="O255" s="136" t="s">
        <v>748</v>
      </c>
      <c r="P255" s="130">
        <v>4819128.8400000008</v>
      </c>
      <c r="Q255" s="130">
        <v>0</v>
      </c>
      <c r="R255" s="130">
        <v>0</v>
      </c>
      <c r="S255" s="130">
        <f t="shared" si="30"/>
        <v>4819128.8400000008</v>
      </c>
      <c r="T255" s="130">
        <f t="shared" si="23"/>
        <v>1388.237840640664</v>
      </c>
      <c r="U255" s="130">
        <v>1567.3543815175433</v>
      </c>
    </row>
    <row r="256" spans="1:21" s="64" customFormat="1" ht="36" customHeight="1" x14ac:dyDescent="0.9">
      <c r="A256" s="64">
        <v>1</v>
      </c>
      <c r="B256" s="96">
        <f>SUBTOTAL(103,$A$16:A256)</f>
        <v>236</v>
      </c>
      <c r="C256" s="94" t="s">
        <v>1247</v>
      </c>
      <c r="D256" s="138" t="s">
        <v>1385</v>
      </c>
      <c r="E256" s="138"/>
      <c r="F256" s="167" t="s">
        <v>319</v>
      </c>
      <c r="G256" s="138" t="s">
        <v>367</v>
      </c>
      <c r="H256" s="138" t="s">
        <v>311</v>
      </c>
      <c r="I256" s="130">
        <v>4238.3</v>
      </c>
      <c r="J256" s="130">
        <v>3715.7</v>
      </c>
      <c r="K256" s="130">
        <v>3797</v>
      </c>
      <c r="L256" s="139">
        <v>139</v>
      </c>
      <c r="M256" s="138" t="s">
        <v>271</v>
      </c>
      <c r="N256" s="138" t="s">
        <v>275</v>
      </c>
      <c r="O256" s="136" t="s">
        <v>1386</v>
      </c>
      <c r="P256" s="130">
        <v>1088632.3299999998</v>
      </c>
      <c r="Q256" s="130">
        <v>0</v>
      </c>
      <c r="R256" s="130">
        <v>0</v>
      </c>
      <c r="S256" s="130">
        <f t="shared" si="30"/>
        <v>1088632.3299999998</v>
      </c>
      <c r="T256" s="130">
        <f t="shared" si="23"/>
        <v>256.85589269282491</v>
      </c>
      <c r="U256" s="130">
        <v>770.96268079182687</v>
      </c>
    </row>
    <row r="257" spans="1:21" s="64" customFormat="1" ht="36" customHeight="1" x14ac:dyDescent="0.9">
      <c r="A257" s="64">
        <v>1</v>
      </c>
      <c r="B257" s="96">
        <f>SUBTOTAL(103,$A$16:A257)</f>
        <v>237</v>
      </c>
      <c r="C257" s="94" t="s">
        <v>1248</v>
      </c>
      <c r="D257" s="138" t="s">
        <v>317</v>
      </c>
      <c r="E257" s="138"/>
      <c r="F257" s="167" t="s">
        <v>273</v>
      </c>
      <c r="G257" s="138" t="s">
        <v>320</v>
      </c>
      <c r="H257" s="138" t="s">
        <v>311</v>
      </c>
      <c r="I257" s="130">
        <v>1681.3</v>
      </c>
      <c r="J257" s="130">
        <v>1080.3</v>
      </c>
      <c r="K257" s="130">
        <v>880.4</v>
      </c>
      <c r="L257" s="139">
        <v>62</v>
      </c>
      <c r="M257" s="138" t="s">
        <v>271</v>
      </c>
      <c r="N257" s="138" t="s">
        <v>275</v>
      </c>
      <c r="O257" s="136" t="s">
        <v>1387</v>
      </c>
      <c r="P257" s="130">
        <v>3426545.11</v>
      </c>
      <c r="Q257" s="130">
        <v>0</v>
      </c>
      <c r="R257" s="130">
        <v>0</v>
      </c>
      <c r="S257" s="130">
        <f t="shared" si="30"/>
        <v>3426545.11</v>
      </c>
      <c r="T257" s="130">
        <f t="shared" si="23"/>
        <v>2038.0331350740498</v>
      </c>
      <c r="U257" s="130">
        <f>T257</f>
        <v>2038.0331350740498</v>
      </c>
    </row>
    <row r="258" spans="1:21" s="64" customFormat="1" ht="36" customHeight="1" x14ac:dyDescent="0.9">
      <c r="A258" s="64">
        <v>1</v>
      </c>
      <c r="B258" s="96">
        <f>SUBTOTAL(103,$A$16:A258)</f>
        <v>238</v>
      </c>
      <c r="C258" s="94" t="s">
        <v>1249</v>
      </c>
      <c r="D258" s="138">
        <v>1959</v>
      </c>
      <c r="E258" s="138"/>
      <c r="F258" s="167" t="s">
        <v>273</v>
      </c>
      <c r="G258" s="138">
        <v>5</v>
      </c>
      <c r="H258" s="138">
        <v>5</v>
      </c>
      <c r="I258" s="130">
        <v>4642.6499999999996</v>
      </c>
      <c r="J258" s="130">
        <v>4206.49</v>
      </c>
      <c r="K258" s="130">
        <v>3767.59</v>
      </c>
      <c r="L258" s="139">
        <v>111</v>
      </c>
      <c r="M258" s="138" t="s">
        <v>271</v>
      </c>
      <c r="N258" s="138" t="s">
        <v>275</v>
      </c>
      <c r="O258" s="136" t="s">
        <v>1388</v>
      </c>
      <c r="P258" s="130">
        <v>9352682.2400000002</v>
      </c>
      <c r="Q258" s="130">
        <v>0</v>
      </c>
      <c r="R258" s="130">
        <v>0</v>
      </c>
      <c r="S258" s="130">
        <f t="shared" si="30"/>
        <v>9352682.2400000002</v>
      </c>
      <c r="T258" s="130">
        <f t="shared" si="23"/>
        <v>2014.5137453824866</v>
      </c>
      <c r="U258" s="130">
        <v>2148.5593357242092</v>
      </c>
    </row>
    <row r="259" spans="1:21" s="64" customFormat="1" ht="36" customHeight="1" x14ac:dyDescent="0.9">
      <c r="A259" s="64">
        <v>1</v>
      </c>
      <c r="B259" s="96">
        <f>SUBTOTAL(103,$A$16:A259)</f>
        <v>239</v>
      </c>
      <c r="C259" s="94" t="s">
        <v>1250</v>
      </c>
      <c r="D259" s="138">
        <v>1956</v>
      </c>
      <c r="E259" s="138"/>
      <c r="F259" s="167" t="s">
        <v>273</v>
      </c>
      <c r="G259" s="138">
        <v>2</v>
      </c>
      <c r="H259" s="138">
        <v>2</v>
      </c>
      <c r="I259" s="130">
        <v>471.5</v>
      </c>
      <c r="J259" s="130">
        <v>326.5</v>
      </c>
      <c r="K259" s="130">
        <v>326.5</v>
      </c>
      <c r="L259" s="139">
        <v>24</v>
      </c>
      <c r="M259" s="138" t="s">
        <v>271</v>
      </c>
      <c r="N259" s="138" t="s">
        <v>275</v>
      </c>
      <c r="O259" s="136" t="s">
        <v>749</v>
      </c>
      <c r="P259" s="130">
        <v>1815587.49</v>
      </c>
      <c r="Q259" s="130">
        <v>0</v>
      </c>
      <c r="R259" s="130">
        <v>0</v>
      </c>
      <c r="S259" s="130">
        <f t="shared" si="30"/>
        <v>1815587.49</v>
      </c>
      <c r="T259" s="130">
        <f t="shared" si="23"/>
        <v>3850.6627571580061</v>
      </c>
      <c r="U259" s="130">
        <v>12133.617881230117</v>
      </c>
    </row>
    <row r="260" spans="1:21" s="64" customFormat="1" ht="36" customHeight="1" x14ac:dyDescent="0.9">
      <c r="A260" s="64">
        <v>1</v>
      </c>
      <c r="B260" s="96">
        <f>SUBTOTAL(103,$A$16:A260)</f>
        <v>240</v>
      </c>
      <c r="C260" s="94" t="s">
        <v>1251</v>
      </c>
      <c r="D260" s="138">
        <v>1978</v>
      </c>
      <c r="E260" s="138"/>
      <c r="F260" s="167" t="s">
        <v>273</v>
      </c>
      <c r="G260" s="138">
        <v>9</v>
      </c>
      <c r="H260" s="138">
        <v>7</v>
      </c>
      <c r="I260" s="130">
        <v>12895.2</v>
      </c>
      <c r="J260" s="130">
        <v>12862.3</v>
      </c>
      <c r="K260" s="130">
        <v>12862.3</v>
      </c>
      <c r="L260" s="139">
        <v>495</v>
      </c>
      <c r="M260" s="138" t="s">
        <v>271</v>
      </c>
      <c r="N260" s="138" t="s">
        <v>275</v>
      </c>
      <c r="O260" s="136" t="s">
        <v>1388</v>
      </c>
      <c r="P260" s="130">
        <v>4245928.87</v>
      </c>
      <c r="Q260" s="130">
        <v>0</v>
      </c>
      <c r="R260" s="130">
        <v>0</v>
      </c>
      <c r="S260" s="130">
        <f t="shared" si="30"/>
        <v>4245928.87</v>
      </c>
      <c r="T260" s="130">
        <f t="shared" si="23"/>
        <v>329.26428981326382</v>
      </c>
      <c r="U260" s="130">
        <v>893.7953261678764</v>
      </c>
    </row>
    <row r="261" spans="1:21" s="64" customFormat="1" ht="36" customHeight="1" x14ac:dyDescent="0.9">
      <c r="A261" s="64">
        <v>1</v>
      </c>
      <c r="B261" s="96">
        <f>SUBTOTAL(103,$A$16:A261)</f>
        <v>241</v>
      </c>
      <c r="C261" s="94" t="s">
        <v>1252</v>
      </c>
      <c r="D261" s="138">
        <v>1965</v>
      </c>
      <c r="E261" s="138"/>
      <c r="F261" s="167" t="s">
        <v>319</v>
      </c>
      <c r="G261" s="138">
        <v>4</v>
      </c>
      <c r="H261" s="138">
        <v>4</v>
      </c>
      <c r="I261" s="130">
        <v>3085.29</v>
      </c>
      <c r="J261" s="130">
        <v>2825.59</v>
      </c>
      <c r="K261" s="130">
        <v>2825.59</v>
      </c>
      <c r="L261" s="139">
        <v>129</v>
      </c>
      <c r="M261" s="138" t="s">
        <v>271</v>
      </c>
      <c r="N261" s="138" t="s">
        <v>275</v>
      </c>
      <c r="O261" s="136" t="s">
        <v>1389</v>
      </c>
      <c r="P261" s="130">
        <v>4667646.4800000004</v>
      </c>
      <c r="Q261" s="130">
        <v>0</v>
      </c>
      <c r="R261" s="130">
        <v>0</v>
      </c>
      <c r="S261" s="130">
        <f t="shared" si="30"/>
        <v>4667646.4800000004</v>
      </c>
      <c r="T261" s="130">
        <f t="shared" si="23"/>
        <v>1512.8712309053608</v>
      </c>
      <c r="U261" s="130">
        <v>4387.9339400834278</v>
      </c>
    </row>
    <row r="262" spans="1:21" s="64" customFormat="1" ht="36" customHeight="1" x14ac:dyDescent="0.9">
      <c r="A262" s="64">
        <v>1</v>
      </c>
      <c r="B262" s="96">
        <f>SUBTOTAL(103,$A$16:A262)</f>
        <v>242</v>
      </c>
      <c r="C262" s="94" t="s">
        <v>1256</v>
      </c>
      <c r="D262" s="138">
        <v>1982</v>
      </c>
      <c r="E262" s="138"/>
      <c r="F262" s="167" t="s">
        <v>273</v>
      </c>
      <c r="G262" s="138">
        <v>9</v>
      </c>
      <c r="H262" s="138">
        <v>2</v>
      </c>
      <c r="I262" s="130">
        <v>5661.18</v>
      </c>
      <c r="J262" s="130">
        <v>4065</v>
      </c>
      <c r="K262" s="130">
        <v>4064.58</v>
      </c>
      <c r="L262" s="139">
        <v>149</v>
      </c>
      <c r="M262" s="138" t="s">
        <v>271</v>
      </c>
      <c r="N262" s="138" t="s">
        <v>275</v>
      </c>
      <c r="O262" s="136" t="s">
        <v>748</v>
      </c>
      <c r="P262" s="130">
        <v>2596982.2399999998</v>
      </c>
      <c r="Q262" s="130">
        <v>0</v>
      </c>
      <c r="R262" s="130">
        <v>0</v>
      </c>
      <c r="S262" s="130">
        <f t="shared" si="30"/>
        <v>2596982.2399999998</v>
      </c>
      <c r="T262" s="130">
        <f t="shared" si="23"/>
        <v>458.73514708947596</v>
      </c>
      <c r="U262" s="130">
        <v>502.65999999999997</v>
      </c>
    </row>
    <row r="263" spans="1:21" s="64" customFormat="1" ht="36" customHeight="1" x14ac:dyDescent="0.9">
      <c r="A263" s="64">
        <v>1</v>
      </c>
      <c r="B263" s="96">
        <f>SUBTOTAL(103,$A$16:A263)</f>
        <v>243</v>
      </c>
      <c r="C263" s="94" t="s">
        <v>1257</v>
      </c>
      <c r="D263" s="138">
        <v>1978</v>
      </c>
      <c r="E263" s="138"/>
      <c r="F263" s="167" t="s">
        <v>273</v>
      </c>
      <c r="G263" s="138">
        <v>5</v>
      </c>
      <c r="H263" s="138">
        <v>6</v>
      </c>
      <c r="I263" s="130">
        <v>6106.27</v>
      </c>
      <c r="J263" s="130">
        <v>4494</v>
      </c>
      <c r="K263" s="130">
        <v>4493.7700000000004</v>
      </c>
      <c r="L263" s="139">
        <v>207</v>
      </c>
      <c r="M263" s="138" t="s">
        <v>271</v>
      </c>
      <c r="N263" s="138" t="s">
        <v>275</v>
      </c>
      <c r="O263" s="136" t="s">
        <v>748</v>
      </c>
      <c r="P263" s="130">
        <v>5481847.6600000001</v>
      </c>
      <c r="Q263" s="130">
        <v>0</v>
      </c>
      <c r="R263" s="130">
        <v>0</v>
      </c>
      <c r="S263" s="130">
        <f t="shared" si="30"/>
        <v>5481847.6600000001</v>
      </c>
      <c r="T263" s="130">
        <f t="shared" si="23"/>
        <v>897.74079102299766</v>
      </c>
      <c r="U263" s="130">
        <v>1296.9542126371744</v>
      </c>
    </row>
    <row r="264" spans="1:21" s="64" customFormat="1" ht="36" customHeight="1" x14ac:dyDescent="0.9">
      <c r="A264" s="64">
        <v>1</v>
      </c>
      <c r="B264" s="96">
        <f>SUBTOTAL(103,$A$16:A264)</f>
        <v>244</v>
      </c>
      <c r="C264" s="94" t="s">
        <v>1258</v>
      </c>
      <c r="D264" s="138">
        <v>1905</v>
      </c>
      <c r="E264" s="138"/>
      <c r="F264" s="167" t="s">
        <v>338</v>
      </c>
      <c r="G264" s="138">
        <v>2</v>
      </c>
      <c r="H264" s="138">
        <v>2</v>
      </c>
      <c r="I264" s="130">
        <v>1065.5</v>
      </c>
      <c r="J264" s="130">
        <v>510.7</v>
      </c>
      <c r="K264" s="130">
        <v>510.7</v>
      </c>
      <c r="L264" s="139">
        <v>18</v>
      </c>
      <c r="M264" s="138" t="s">
        <v>271</v>
      </c>
      <c r="N264" s="138" t="s">
        <v>275</v>
      </c>
      <c r="O264" s="136" t="s">
        <v>1387</v>
      </c>
      <c r="P264" s="130">
        <v>1562740.68</v>
      </c>
      <c r="Q264" s="130">
        <v>0</v>
      </c>
      <c r="R264" s="130">
        <v>0</v>
      </c>
      <c r="S264" s="130">
        <f t="shared" si="30"/>
        <v>1562740.68</v>
      </c>
      <c r="T264" s="130">
        <f t="shared" si="23"/>
        <v>1466.6735617081181</v>
      </c>
      <c r="U264" s="130">
        <v>8911.6543219145933</v>
      </c>
    </row>
    <row r="265" spans="1:21" s="64" customFormat="1" ht="36" customHeight="1" x14ac:dyDescent="0.9">
      <c r="A265" s="64">
        <v>1</v>
      </c>
      <c r="B265" s="96">
        <f>SUBTOTAL(103,$A$16:A265)</f>
        <v>245</v>
      </c>
      <c r="C265" s="94" t="s">
        <v>1259</v>
      </c>
      <c r="D265" s="138">
        <v>1937</v>
      </c>
      <c r="E265" s="138"/>
      <c r="F265" s="167" t="s">
        <v>273</v>
      </c>
      <c r="G265" s="138">
        <v>3</v>
      </c>
      <c r="H265" s="138">
        <v>2</v>
      </c>
      <c r="I265" s="130">
        <v>1633.4</v>
      </c>
      <c r="J265" s="130">
        <v>1633.4</v>
      </c>
      <c r="K265" s="130">
        <v>1485.5</v>
      </c>
      <c r="L265" s="139">
        <v>51</v>
      </c>
      <c r="M265" s="138" t="s">
        <v>271</v>
      </c>
      <c r="N265" s="138" t="s">
        <v>289</v>
      </c>
      <c r="O265" s="136" t="s">
        <v>274</v>
      </c>
      <c r="P265" s="130">
        <v>3621850.1999999997</v>
      </c>
      <c r="Q265" s="130">
        <v>0</v>
      </c>
      <c r="R265" s="130">
        <v>0</v>
      </c>
      <c r="S265" s="130">
        <f t="shared" si="30"/>
        <v>3621850.1999999997</v>
      </c>
      <c r="T265" s="130">
        <f t="shared" si="23"/>
        <v>2217.3688012734169</v>
      </c>
      <c r="U265" s="130">
        <v>2890.598910248561</v>
      </c>
    </row>
    <row r="266" spans="1:21" s="64" customFormat="1" ht="36" customHeight="1" x14ac:dyDescent="0.9">
      <c r="A266" s="64">
        <v>1</v>
      </c>
      <c r="B266" s="96">
        <f>SUBTOTAL(103,$A$16:A266)</f>
        <v>246</v>
      </c>
      <c r="C266" s="94" t="s">
        <v>1260</v>
      </c>
      <c r="D266" s="138">
        <v>1973</v>
      </c>
      <c r="E266" s="138"/>
      <c r="F266" s="167" t="s">
        <v>273</v>
      </c>
      <c r="G266" s="138">
        <v>5</v>
      </c>
      <c r="H266" s="138">
        <v>6</v>
      </c>
      <c r="I266" s="130">
        <v>4829.54</v>
      </c>
      <c r="J266" s="130">
        <v>4363.6400000000003</v>
      </c>
      <c r="K266" s="130">
        <v>4363.6400000000003</v>
      </c>
      <c r="L266" s="139">
        <v>198</v>
      </c>
      <c r="M266" s="138" t="s">
        <v>271</v>
      </c>
      <c r="N266" s="138" t="s">
        <v>275</v>
      </c>
      <c r="O266" s="136" t="s">
        <v>746</v>
      </c>
      <c r="P266" s="130">
        <v>7140948.1100000003</v>
      </c>
      <c r="Q266" s="130">
        <v>0</v>
      </c>
      <c r="R266" s="130">
        <v>0</v>
      </c>
      <c r="S266" s="130">
        <f t="shared" si="30"/>
        <v>7140948.1100000003</v>
      </c>
      <c r="T266" s="130">
        <f t="shared" si="23"/>
        <v>1478.5979844871356</v>
      </c>
      <c r="U266" s="130">
        <v>1546.8087896569859</v>
      </c>
    </row>
    <row r="267" spans="1:21" s="64" customFormat="1" ht="36" customHeight="1" x14ac:dyDescent="0.9">
      <c r="A267" s="64">
        <v>1</v>
      </c>
      <c r="B267" s="96">
        <f>SUBTOTAL(103,$A$16:A267)</f>
        <v>247</v>
      </c>
      <c r="C267" s="94" t="s">
        <v>1261</v>
      </c>
      <c r="D267" s="138">
        <v>1957</v>
      </c>
      <c r="E267" s="138"/>
      <c r="F267" s="167" t="s">
        <v>273</v>
      </c>
      <c r="G267" s="138">
        <v>2</v>
      </c>
      <c r="H267" s="138">
        <v>2</v>
      </c>
      <c r="I267" s="130">
        <v>497.1</v>
      </c>
      <c r="J267" s="130">
        <v>442.9</v>
      </c>
      <c r="K267" s="130">
        <v>442.9</v>
      </c>
      <c r="L267" s="139">
        <v>20</v>
      </c>
      <c r="M267" s="138" t="s">
        <v>271</v>
      </c>
      <c r="N267" s="138" t="s">
        <v>275</v>
      </c>
      <c r="O267" s="136" t="s">
        <v>1387</v>
      </c>
      <c r="P267" s="130">
        <v>732022.04</v>
      </c>
      <c r="Q267" s="130">
        <v>0</v>
      </c>
      <c r="R267" s="130">
        <v>0</v>
      </c>
      <c r="S267" s="130">
        <f t="shared" si="30"/>
        <v>732022.04</v>
      </c>
      <c r="T267" s="130">
        <f t="shared" si="23"/>
        <v>1472.58507342587</v>
      </c>
      <c r="U267" s="130">
        <v>2928.86</v>
      </c>
    </row>
    <row r="268" spans="1:21" s="64" customFormat="1" ht="36" customHeight="1" x14ac:dyDescent="0.9">
      <c r="A268" s="64">
        <v>1</v>
      </c>
      <c r="B268" s="96">
        <f>SUBTOTAL(103,$A$16:A268)</f>
        <v>248</v>
      </c>
      <c r="C268" s="94" t="s">
        <v>1262</v>
      </c>
      <c r="D268" s="138">
        <v>1967</v>
      </c>
      <c r="E268" s="138"/>
      <c r="F268" s="167" t="s">
        <v>273</v>
      </c>
      <c r="G268" s="138">
        <v>5</v>
      </c>
      <c r="H268" s="138">
        <v>4</v>
      </c>
      <c r="I268" s="130">
        <v>5485.29</v>
      </c>
      <c r="J268" s="130">
        <v>3346.19</v>
      </c>
      <c r="K268" s="130">
        <v>3346.19</v>
      </c>
      <c r="L268" s="139">
        <v>139</v>
      </c>
      <c r="M268" s="138" t="s">
        <v>271</v>
      </c>
      <c r="N268" s="138" t="s">
        <v>275</v>
      </c>
      <c r="O268" s="136" t="s">
        <v>1387</v>
      </c>
      <c r="P268" s="130">
        <v>5959799.2299999995</v>
      </c>
      <c r="Q268" s="130">
        <v>0</v>
      </c>
      <c r="R268" s="130">
        <v>0</v>
      </c>
      <c r="S268" s="130">
        <f t="shared" si="30"/>
        <v>5959799.2299999995</v>
      </c>
      <c r="T268" s="130">
        <f t="shared" ref="T268:T330" si="31">P268/I268</f>
        <v>1086.5057690659928</v>
      </c>
      <c r="U268" s="130">
        <v>1491.6232357085953</v>
      </c>
    </row>
    <row r="269" spans="1:21" s="64" customFormat="1" ht="36" customHeight="1" x14ac:dyDescent="0.9">
      <c r="A269" s="64">
        <v>1</v>
      </c>
      <c r="B269" s="96">
        <f>SUBTOTAL(103,$A$16:A269)</f>
        <v>249</v>
      </c>
      <c r="C269" s="94" t="s">
        <v>1263</v>
      </c>
      <c r="D269" s="138">
        <v>1990</v>
      </c>
      <c r="E269" s="138"/>
      <c r="F269" s="167" t="s">
        <v>273</v>
      </c>
      <c r="G269" s="138">
        <v>2</v>
      </c>
      <c r="H269" s="138">
        <v>2</v>
      </c>
      <c r="I269" s="130">
        <v>568.29999999999995</v>
      </c>
      <c r="J269" s="130">
        <v>317</v>
      </c>
      <c r="K269" s="130">
        <v>257.10000000000002</v>
      </c>
      <c r="L269" s="139">
        <v>31</v>
      </c>
      <c r="M269" s="138" t="s">
        <v>271</v>
      </c>
      <c r="N269" s="138" t="s">
        <v>272</v>
      </c>
      <c r="O269" s="136" t="s">
        <v>274</v>
      </c>
      <c r="P269" s="130">
        <v>3061127.77</v>
      </c>
      <c r="Q269" s="130">
        <v>0</v>
      </c>
      <c r="R269" s="130">
        <v>0</v>
      </c>
      <c r="S269" s="130">
        <f t="shared" si="30"/>
        <v>3061127.77</v>
      </c>
      <c r="T269" s="130">
        <f t="shared" si="31"/>
        <v>5386.4644905859586</v>
      </c>
      <c r="U269" s="130">
        <v>6382.6781629421084</v>
      </c>
    </row>
    <row r="270" spans="1:21" s="64" customFormat="1" ht="36" customHeight="1" x14ac:dyDescent="0.9">
      <c r="A270" s="64">
        <v>1</v>
      </c>
      <c r="B270" s="96">
        <f>SUBTOTAL(103,$A$16:A270)</f>
        <v>250</v>
      </c>
      <c r="C270" s="94" t="s">
        <v>1430</v>
      </c>
      <c r="D270" s="138">
        <v>1970</v>
      </c>
      <c r="E270" s="138"/>
      <c r="F270" s="167" t="s">
        <v>273</v>
      </c>
      <c r="G270" s="138">
        <v>2</v>
      </c>
      <c r="H270" s="138">
        <v>2</v>
      </c>
      <c r="I270" s="130">
        <v>973.3</v>
      </c>
      <c r="J270" s="130">
        <v>527.20000000000005</v>
      </c>
      <c r="K270" s="130">
        <v>421.80000000000007</v>
      </c>
      <c r="L270" s="139">
        <v>26</v>
      </c>
      <c r="M270" s="138" t="s">
        <v>271</v>
      </c>
      <c r="N270" s="138" t="s">
        <v>275</v>
      </c>
      <c r="O270" s="136" t="s">
        <v>1149</v>
      </c>
      <c r="P270" s="130">
        <v>2430415.2200000002</v>
      </c>
      <c r="Q270" s="130">
        <v>0</v>
      </c>
      <c r="R270" s="130">
        <v>0</v>
      </c>
      <c r="S270" s="130">
        <f t="shared" si="30"/>
        <v>2430415.2200000002</v>
      </c>
      <c r="T270" s="130">
        <f t="shared" si="31"/>
        <v>2497.0874550498306</v>
      </c>
      <c r="U270" s="130">
        <v>2728.1900706873525</v>
      </c>
    </row>
    <row r="271" spans="1:21" s="64" customFormat="1" ht="36" customHeight="1" x14ac:dyDescent="0.9">
      <c r="A271" s="64">
        <v>1</v>
      </c>
      <c r="B271" s="96">
        <f>SUBTOTAL(103,$A$16:A271)</f>
        <v>251</v>
      </c>
      <c r="C271" s="94" t="s">
        <v>1429</v>
      </c>
      <c r="D271" s="138">
        <v>1984</v>
      </c>
      <c r="E271" s="138"/>
      <c r="F271" s="167" t="s">
        <v>326</v>
      </c>
      <c r="G271" s="138">
        <v>2</v>
      </c>
      <c r="H271" s="138">
        <v>2</v>
      </c>
      <c r="I271" s="130">
        <v>622.79999999999995</v>
      </c>
      <c r="J271" s="130">
        <v>560.29999999999995</v>
      </c>
      <c r="K271" s="130">
        <v>468.99999999999994</v>
      </c>
      <c r="L271" s="139">
        <v>31</v>
      </c>
      <c r="M271" s="138" t="s">
        <v>271</v>
      </c>
      <c r="N271" s="138" t="s">
        <v>275</v>
      </c>
      <c r="O271" s="136" t="s">
        <v>1388</v>
      </c>
      <c r="P271" s="130">
        <v>2887064.55</v>
      </c>
      <c r="Q271" s="130">
        <v>0</v>
      </c>
      <c r="R271" s="130">
        <v>0</v>
      </c>
      <c r="S271" s="130">
        <f t="shared" si="30"/>
        <v>2887064.55</v>
      </c>
      <c r="T271" s="130">
        <f t="shared" si="31"/>
        <v>4635.620664739884</v>
      </c>
      <c r="U271" s="130">
        <v>5090.4947546563899</v>
      </c>
    </row>
    <row r="272" spans="1:21" s="64" customFormat="1" ht="36" customHeight="1" x14ac:dyDescent="0.9">
      <c r="A272" s="64">
        <v>1</v>
      </c>
      <c r="B272" s="96">
        <f>SUBTOTAL(103,$A$16:A272)</f>
        <v>252</v>
      </c>
      <c r="C272" s="94" t="s">
        <v>1654</v>
      </c>
      <c r="D272" s="138">
        <v>1965</v>
      </c>
      <c r="E272" s="138"/>
      <c r="F272" s="167" t="s">
        <v>1674</v>
      </c>
      <c r="G272" s="138">
        <v>5</v>
      </c>
      <c r="H272" s="138">
        <v>3</v>
      </c>
      <c r="I272" s="130">
        <v>4032.79</v>
      </c>
      <c r="J272" s="130">
        <v>2461.89</v>
      </c>
      <c r="K272" s="130">
        <f>J272-184.4</f>
        <v>2277.4899999999998</v>
      </c>
      <c r="L272" s="139">
        <v>120</v>
      </c>
      <c r="M272" s="138" t="s">
        <v>271</v>
      </c>
      <c r="N272" s="138" t="s">
        <v>275</v>
      </c>
      <c r="O272" s="136" t="s">
        <v>748</v>
      </c>
      <c r="P272" s="130">
        <v>6349239.9500000002</v>
      </c>
      <c r="Q272" s="130">
        <v>0</v>
      </c>
      <c r="R272" s="130">
        <v>0</v>
      </c>
      <c r="S272" s="130">
        <f>P272-R272-Q272</f>
        <v>6349239.9500000002</v>
      </c>
      <c r="T272" s="130">
        <f t="shared" si="31"/>
        <v>1574.4038122490881</v>
      </c>
      <c r="U272" s="130">
        <v>1574.4038122490881</v>
      </c>
    </row>
    <row r="273" spans="1:21" s="64" customFormat="1" ht="36" customHeight="1" x14ac:dyDescent="0.9">
      <c r="B273" s="94" t="s">
        <v>859</v>
      </c>
      <c r="C273" s="94"/>
      <c r="D273" s="138" t="s">
        <v>934</v>
      </c>
      <c r="E273" s="138" t="s">
        <v>934</v>
      </c>
      <c r="F273" s="138" t="s">
        <v>934</v>
      </c>
      <c r="G273" s="138" t="s">
        <v>934</v>
      </c>
      <c r="H273" s="138" t="s">
        <v>934</v>
      </c>
      <c r="I273" s="129">
        <f>SUM(I274:I280)</f>
        <v>42597.2</v>
      </c>
      <c r="J273" s="129">
        <f t="shared" ref="J273:L273" si="32">SUM(J274:J280)</f>
        <v>27019.800000000003</v>
      </c>
      <c r="K273" s="129">
        <f t="shared" si="32"/>
        <v>25949.5</v>
      </c>
      <c r="L273" s="139">
        <f t="shared" si="32"/>
        <v>1169</v>
      </c>
      <c r="M273" s="138" t="s">
        <v>934</v>
      </c>
      <c r="N273" s="138" t="s">
        <v>934</v>
      </c>
      <c r="O273" s="136" t="s">
        <v>934</v>
      </c>
      <c r="P273" s="130">
        <v>31393292.599999998</v>
      </c>
      <c r="Q273" s="130">
        <f t="shared" ref="Q273:S273" si="33">SUM(Q274:Q280)</f>
        <v>0</v>
      </c>
      <c r="R273" s="130">
        <f t="shared" si="33"/>
        <v>0</v>
      </c>
      <c r="S273" s="130">
        <f t="shared" si="33"/>
        <v>31393292.599999998</v>
      </c>
      <c r="T273" s="130">
        <f t="shared" si="31"/>
        <v>736.98019118627519</v>
      </c>
      <c r="U273" s="130">
        <f>MAX(U274:U280)</f>
        <v>3255.8500000000004</v>
      </c>
    </row>
    <row r="274" spans="1:21" s="64" customFormat="1" ht="36" customHeight="1" x14ac:dyDescent="0.9">
      <c r="A274" s="64">
        <v>1</v>
      </c>
      <c r="B274" s="96">
        <f>SUBTOTAL(103,$A$16:A274)</f>
        <v>253</v>
      </c>
      <c r="C274" s="94" t="s">
        <v>675</v>
      </c>
      <c r="D274" s="138">
        <v>1981</v>
      </c>
      <c r="E274" s="138"/>
      <c r="F274" s="167" t="s">
        <v>319</v>
      </c>
      <c r="G274" s="138">
        <v>5</v>
      </c>
      <c r="H274" s="138">
        <v>7</v>
      </c>
      <c r="I274" s="130">
        <v>9132.7000000000007</v>
      </c>
      <c r="J274" s="130">
        <v>5349.7</v>
      </c>
      <c r="K274" s="130">
        <v>5077.8999999999996</v>
      </c>
      <c r="L274" s="139">
        <v>233</v>
      </c>
      <c r="M274" s="138" t="s">
        <v>271</v>
      </c>
      <c r="N274" s="138" t="s">
        <v>275</v>
      </c>
      <c r="O274" s="136" t="s">
        <v>751</v>
      </c>
      <c r="P274" s="130">
        <v>7597136.8899999997</v>
      </c>
      <c r="Q274" s="130">
        <v>0</v>
      </c>
      <c r="R274" s="130">
        <v>0</v>
      </c>
      <c r="S274" s="130">
        <f t="shared" ref="S274:S280" si="34">P274-Q274-R274</f>
        <v>7597136.8899999997</v>
      </c>
      <c r="T274" s="130">
        <f t="shared" si="31"/>
        <v>831.86099291556707</v>
      </c>
      <c r="U274" s="130">
        <v>926.28386266930909</v>
      </c>
    </row>
    <row r="275" spans="1:21" s="64" customFormat="1" ht="36" customHeight="1" x14ac:dyDescent="0.9">
      <c r="A275" s="64">
        <v>1</v>
      </c>
      <c r="B275" s="96">
        <f>SUBTOTAL(103,$A$16:A275)</f>
        <v>254</v>
      </c>
      <c r="C275" s="94" t="s">
        <v>681</v>
      </c>
      <c r="D275" s="138">
        <v>1987</v>
      </c>
      <c r="E275" s="138"/>
      <c r="F275" s="167" t="s">
        <v>273</v>
      </c>
      <c r="G275" s="138">
        <v>5</v>
      </c>
      <c r="H275" s="138">
        <v>6</v>
      </c>
      <c r="I275" s="130">
        <v>7301.9</v>
      </c>
      <c r="J275" s="130">
        <v>3931.5</v>
      </c>
      <c r="K275" s="130">
        <v>3739.7</v>
      </c>
      <c r="L275" s="139">
        <v>187</v>
      </c>
      <c r="M275" s="138" t="s">
        <v>271</v>
      </c>
      <c r="N275" s="138" t="s">
        <v>275</v>
      </c>
      <c r="O275" s="136" t="s">
        <v>751</v>
      </c>
      <c r="P275" s="130">
        <v>6332587.8299999991</v>
      </c>
      <c r="Q275" s="130">
        <v>0</v>
      </c>
      <c r="R275" s="130">
        <v>0</v>
      </c>
      <c r="S275" s="130">
        <f t="shared" si="34"/>
        <v>6332587.8299999991</v>
      </c>
      <c r="T275" s="130">
        <f t="shared" si="31"/>
        <v>867.25206179213626</v>
      </c>
      <c r="U275" s="130">
        <v>929.3511072460592</v>
      </c>
    </row>
    <row r="276" spans="1:21" s="64" customFormat="1" ht="36" customHeight="1" x14ac:dyDescent="0.9">
      <c r="A276" s="64">
        <v>1</v>
      </c>
      <c r="B276" s="96">
        <f>SUBTOTAL(103,$A$16:A276)</f>
        <v>255</v>
      </c>
      <c r="C276" s="94" t="s">
        <v>1264</v>
      </c>
      <c r="D276" s="138">
        <v>2001</v>
      </c>
      <c r="E276" s="138"/>
      <c r="F276" s="167" t="s">
        <v>273</v>
      </c>
      <c r="G276" s="138">
        <v>5</v>
      </c>
      <c r="H276" s="138">
        <v>5</v>
      </c>
      <c r="I276" s="130">
        <v>6333.9</v>
      </c>
      <c r="J276" s="130">
        <v>3627.6</v>
      </c>
      <c r="K276" s="130">
        <v>3627.6</v>
      </c>
      <c r="L276" s="139">
        <v>159</v>
      </c>
      <c r="M276" s="138" t="s">
        <v>271</v>
      </c>
      <c r="N276" s="138" t="s">
        <v>275</v>
      </c>
      <c r="O276" s="136" t="s">
        <v>751</v>
      </c>
      <c r="P276" s="130">
        <v>5003194.3900000006</v>
      </c>
      <c r="Q276" s="130">
        <v>0</v>
      </c>
      <c r="R276" s="130">
        <v>0</v>
      </c>
      <c r="S276" s="130">
        <f t="shared" si="34"/>
        <v>5003194.3900000006</v>
      </c>
      <c r="T276" s="130">
        <f t="shared" si="31"/>
        <v>789.90738565496781</v>
      </c>
      <c r="U276" s="130">
        <v>1955.117741675745</v>
      </c>
    </row>
    <row r="277" spans="1:21" s="64" customFormat="1" ht="36" customHeight="1" x14ac:dyDescent="0.9">
      <c r="A277" s="64">
        <v>1</v>
      </c>
      <c r="B277" s="96">
        <f>SUBTOTAL(103,$A$16:A277)</f>
        <v>256</v>
      </c>
      <c r="C277" s="94" t="s">
        <v>1265</v>
      </c>
      <c r="D277" s="138">
        <v>1989</v>
      </c>
      <c r="E277" s="138">
        <v>2015</v>
      </c>
      <c r="F277" s="167" t="s">
        <v>273</v>
      </c>
      <c r="G277" s="138">
        <v>9</v>
      </c>
      <c r="H277" s="138">
        <v>2</v>
      </c>
      <c r="I277" s="130">
        <v>6378.8</v>
      </c>
      <c r="J277" s="130">
        <v>3627.7</v>
      </c>
      <c r="K277" s="130">
        <v>3459.6</v>
      </c>
      <c r="L277" s="139">
        <v>186</v>
      </c>
      <c r="M277" s="138" t="s">
        <v>271</v>
      </c>
      <c r="N277" s="138" t="s">
        <v>275</v>
      </c>
      <c r="O277" s="136" t="s">
        <v>751</v>
      </c>
      <c r="P277" s="130">
        <v>3498706.87</v>
      </c>
      <c r="Q277" s="130">
        <v>0</v>
      </c>
      <c r="R277" s="130">
        <v>0</v>
      </c>
      <c r="S277" s="130">
        <f t="shared" si="34"/>
        <v>3498706.87</v>
      </c>
      <c r="T277" s="130">
        <f t="shared" si="31"/>
        <v>548.48982096946133</v>
      </c>
      <c r="U277" s="130">
        <v>3255.8500000000004</v>
      </c>
    </row>
    <row r="278" spans="1:21" s="64" customFormat="1" ht="36" customHeight="1" x14ac:dyDescent="0.9">
      <c r="A278" s="64">
        <v>1</v>
      </c>
      <c r="B278" s="96">
        <f>SUBTOTAL(103,$A$16:A278)</f>
        <v>257</v>
      </c>
      <c r="C278" s="94" t="s">
        <v>1266</v>
      </c>
      <c r="D278" s="138">
        <v>1979</v>
      </c>
      <c r="E278" s="138"/>
      <c r="F278" s="167" t="s">
        <v>319</v>
      </c>
      <c r="G278" s="138">
        <v>5</v>
      </c>
      <c r="H278" s="138">
        <v>2</v>
      </c>
      <c r="I278" s="130">
        <v>2660.8</v>
      </c>
      <c r="J278" s="130">
        <v>1869.9</v>
      </c>
      <c r="K278" s="130">
        <v>1766.1</v>
      </c>
      <c r="L278" s="139">
        <v>85</v>
      </c>
      <c r="M278" s="138" t="s">
        <v>271</v>
      </c>
      <c r="N278" s="138" t="s">
        <v>275</v>
      </c>
      <c r="O278" s="136" t="s">
        <v>751</v>
      </c>
      <c r="P278" s="130">
        <v>1670690</v>
      </c>
      <c r="Q278" s="130">
        <v>0</v>
      </c>
      <c r="R278" s="130">
        <v>0</v>
      </c>
      <c r="S278" s="130">
        <f t="shared" si="34"/>
        <v>1670690</v>
      </c>
      <c r="T278" s="130">
        <f t="shared" si="31"/>
        <v>627.89010823812384</v>
      </c>
      <c r="U278" s="130">
        <v>1027.1919971437162</v>
      </c>
    </row>
    <row r="279" spans="1:21" s="64" customFormat="1" ht="36" customHeight="1" x14ac:dyDescent="0.9">
      <c r="A279" s="64">
        <v>1</v>
      </c>
      <c r="B279" s="96">
        <f>SUBTOTAL(103,$A$16:A279)</f>
        <v>258</v>
      </c>
      <c r="C279" s="94" t="s">
        <v>1267</v>
      </c>
      <c r="D279" s="138">
        <v>1986</v>
      </c>
      <c r="E279" s="138"/>
      <c r="F279" s="167" t="s">
        <v>319</v>
      </c>
      <c r="G279" s="138">
        <v>5</v>
      </c>
      <c r="H279" s="138">
        <v>5</v>
      </c>
      <c r="I279" s="130">
        <v>5770.1</v>
      </c>
      <c r="J279" s="130">
        <v>3935.4</v>
      </c>
      <c r="K279" s="130">
        <v>3781</v>
      </c>
      <c r="L279" s="139">
        <v>174</v>
      </c>
      <c r="M279" s="138" t="s">
        <v>271</v>
      </c>
      <c r="N279" s="138" t="s">
        <v>275</v>
      </c>
      <c r="O279" s="136" t="s">
        <v>751</v>
      </c>
      <c r="P279" s="130">
        <v>4024342.92</v>
      </c>
      <c r="Q279" s="130">
        <v>0</v>
      </c>
      <c r="R279" s="130">
        <v>0</v>
      </c>
      <c r="S279" s="130">
        <f t="shared" si="34"/>
        <v>4024342.92</v>
      </c>
      <c r="T279" s="130">
        <f t="shared" si="31"/>
        <v>697.44769068127061</v>
      </c>
      <c r="U279" s="130">
        <v>1085.439864127138</v>
      </c>
    </row>
    <row r="280" spans="1:21" s="64" customFormat="1" ht="36" customHeight="1" x14ac:dyDescent="0.9">
      <c r="A280" s="64">
        <v>1</v>
      </c>
      <c r="B280" s="96">
        <f>SUBTOTAL(103,$A$16:A280)</f>
        <v>259</v>
      </c>
      <c r="C280" s="94" t="s">
        <v>679</v>
      </c>
      <c r="D280" s="138">
        <v>1991</v>
      </c>
      <c r="E280" s="138"/>
      <c r="F280" s="167" t="s">
        <v>319</v>
      </c>
      <c r="G280" s="138">
        <v>5</v>
      </c>
      <c r="H280" s="138">
        <v>4</v>
      </c>
      <c r="I280" s="130">
        <v>5019</v>
      </c>
      <c r="J280" s="130">
        <v>4678</v>
      </c>
      <c r="K280" s="130">
        <v>4497.6000000000004</v>
      </c>
      <c r="L280" s="139">
        <v>145</v>
      </c>
      <c r="M280" s="138" t="s">
        <v>271</v>
      </c>
      <c r="N280" s="138" t="s">
        <v>275</v>
      </c>
      <c r="O280" s="136" t="s">
        <v>751</v>
      </c>
      <c r="P280" s="130">
        <v>3266633.7</v>
      </c>
      <c r="Q280" s="130">
        <v>0</v>
      </c>
      <c r="R280" s="130">
        <v>0</v>
      </c>
      <c r="S280" s="130">
        <f t="shared" si="34"/>
        <v>3266633.7</v>
      </c>
      <c r="T280" s="130">
        <f t="shared" si="31"/>
        <v>650.85349671249253</v>
      </c>
      <c r="U280" s="130">
        <v>1019.1400091651724</v>
      </c>
    </row>
    <row r="281" spans="1:21" s="64" customFormat="1" ht="36" customHeight="1" x14ac:dyDescent="0.9">
      <c r="B281" s="94" t="s">
        <v>860</v>
      </c>
      <c r="C281" s="94"/>
      <c r="D281" s="138" t="s">
        <v>934</v>
      </c>
      <c r="E281" s="138" t="s">
        <v>934</v>
      </c>
      <c r="F281" s="138" t="s">
        <v>934</v>
      </c>
      <c r="G281" s="138" t="s">
        <v>934</v>
      </c>
      <c r="H281" s="138" t="s">
        <v>934</v>
      </c>
      <c r="I281" s="129">
        <f>SUM(I282:I287)</f>
        <v>10556.800000000001</v>
      </c>
      <c r="J281" s="129">
        <f t="shared" ref="J281:L281" si="35">SUM(J282:J287)</f>
        <v>8511.2999999999993</v>
      </c>
      <c r="K281" s="129">
        <f t="shared" si="35"/>
        <v>7690.2999999999993</v>
      </c>
      <c r="L281" s="139">
        <f t="shared" si="35"/>
        <v>411</v>
      </c>
      <c r="M281" s="138" t="s">
        <v>934</v>
      </c>
      <c r="N281" s="138" t="s">
        <v>934</v>
      </c>
      <c r="O281" s="136" t="s">
        <v>934</v>
      </c>
      <c r="P281" s="129">
        <v>35599350.520000003</v>
      </c>
      <c r="Q281" s="129">
        <f t="shared" ref="Q281:S281" si="36">SUM(Q282:Q287)</f>
        <v>0</v>
      </c>
      <c r="R281" s="129">
        <f t="shared" si="36"/>
        <v>0</v>
      </c>
      <c r="S281" s="129">
        <f t="shared" si="36"/>
        <v>35599350.520000003</v>
      </c>
      <c r="T281" s="130">
        <f t="shared" si="31"/>
        <v>3372.1724878751138</v>
      </c>
      <c r="U281" s="130">
        <f>MAX(U282:U287)</f>
        <v>13577.801879239836</v>
      </c>
    </row>
    <row r="282" spans="1:21" s="64" customFormat="1" ht="36" customHeight="1" x14ac:dyDescent="0.9">
      <c r="A282" s="64">
        <v>1</v>
      </c>
      <c r="B282" s="96">
        <f>SUBTOTAL(103,$A$16:A282)</f>
        <v>260</v>
      </c>
      <c r="C282" s="94" t="s">
        <v>689</v>
      </c>
      <c r="D282" s="138">
        <v>1896</v>
      </c>
      <c r="E282" s="138"/>
      <c r="F282" s="167" t="s">
        <v>273</v>
      </c>
      <c r="G282" s="138">
        <v>2</v>
      </c>
      <c r="H282" s="138">
        <v>1</v>
      </c>
      <c r="I282" s="130">
        <v>415.7</v>
      </c>
      <c r="J282" s="130">
        <v>392.3</v>
      </c>
      <c r="K282" s="130">
        <v>282.7</v>
      </c>
      <c r="L282" s="139">
        <v>23</v>
      </c>
      <c r="M282" s="138" t="s">
        <v>271</v>
      </c>
      <c r="N282" s="138" t="s">
        <v>275</v>
      </c>
      <c r="O282" s="136" t="s">
        <v>752</v>
      </c>
      <c r="P282" s="130">
        <v>3549468.85</v>
      </c>
      <c r="Q282" s="130">
        <v>0</v>
      </c>
      <c r="R282" s="130">
        <v>0</v>
      </c>
      <c r="S282" s="130">
        <f t="shared" ref="S282:S286" si="37">P282-Q282-R282</f>
        <v>3549468.85</v>
      </c>
      <c r="T282" s="130">
        <f t="shared" si="31"/>
        <v>8538.5346403656495</v>
      </c>
      <c r="U282" s="130">
        <v>13577.801879239836</v>
      </c>
    </row>
    <row r="283" spans="1:21" s="64" customFormat="1" ht="36" customHeight="1" x14ac:dyDescent="0.9">
      <c r="A283" s="64">
        <v>1</v>
      </c>
      <c r="B283" s="96">
        <f>SUBTOTAL(103,$A$16:A283)</f>
        <v>261</v>
      </c>
      <c r="C283" s="94" t="s">
        <v>683</v>
      </c>
      <c r="D283" s="138">
        <v>1958</v>
      </c>
      <c r="E283" s="138"/>
      <c r="F283" s="167" t="s">
        <v>273</v>
      </c>
      <c r="G283" s="138">
        <v>3</v>
      </c>
      <c r="H283" s="138">
        <v>3</v>
      </c>
      <c r="I283" s="130">
        <v>1224.0999999999999</v>
      </c>
      <c r="J283" s="130">
        <v>1113.4000000000001</v>
      </c>
      <c r="K283" s="130">
        <v>755.9</v>
      </c>
      <c r="L283" s="139">
        <v>53</v>
      </c>
      <c r="M283" s="138" t="s">
        <v>271</v>
      </c>
      <c r="N283" s="138" t="s">
        <v>275</v>
      </c>
      <c r="O283" s="136" t="s">
        <v>752</v>
      </c>
      <c r="P283" s="130">
        <v>3778176.65</v>
      </c>
      <c r="Q283" s="130">
        <v>0</v>
      </c>
      <c r="R283" s="130">
        <v>0</v>
      </c>
      <c r="S283" s="130">
        <f t="shared" si="37"/>
        <v>3778176.65</v>
      </c>
      <c r="T283" s="130">
        <f t="shared" si="31"/>
        <v>3086.4934645862268</v>
      </c>
      <c r="U283" s="130">
        <v>3573.8886765787111</v>
      </c>
    </row>
    <row r="284" spans="1:21" s="64" customFormat="1" ht="36" customHeight="1" x14ac:dyDescent="0.9">
      <c r="A284" s="64">
        <v>1</v>
      </c>
      <c r="B284" s="96">
        <f>SUBTOTAL(103,$A$16:A284)</f>
        <v>262</v>
      </c>
      <c r="C284" s="94" t="s">
        <v>688</v>
      </c>
      <c r="D284" s="138">
        <v>1984</v>
      </c>
      <c r="E284" s="138"/>
      <c r="F284" s="167" t="s">
        <v>273</v>
      </c>
      <c r="G284" s="138">
        <v>3</v>
      </c>
      <c r="H284" s="138">
        <v>3</v>
      </c>
      <c r="I284" s="130">
        <v>2162.5</v>
      </c>
      <c r="J284" s="130">
        <v>2162.5</v>
      </c>
      <c r="K284" s="130">
        <v>2047.6</v>
      </c>
      <c r="L284" s="139">
        <v>79</v>
      </c>
      <c r="M284" s="138" t="s">
        <v>271</v>
      </c>
      <c r="N284" s="138" t="s">
        <v>275</v>
      </c>
      <c r="O284" s="136" t="s">
        <v>746</v>
      </c>
      <c r="P284" s="130">
        <v>6011459.4000000004</v>
      </c>
      <c r="Q284" s="130">
        <v>0</v>
      </c>
      <c r="R284" s="130">
        <v>0</v>
      </c>
      <c r="S284" s="130">
        <f t="shared" si="37"/>
        <v>6011459.4000000004</v>
      </c>
      <c r="T284" s="130">
        <f t="shared" si="31"/>
        <v>2779.8656184971101</v>
      </c>
      <c r="U284" s="130">
        <v>3218.8405290173414</v>
      </c>
    </row>
    <row r="285" spans="1:21" s="64" customFormat="1" ht="36" customHeight="1" x14ac:dyDescent="0.9">
      <c r="A285" s="64">
        <v>1</v>
      </c>
      <c r="B285" s="96">
        <f>SUBTOTAL(103,$A$16:A285)</f>
        <v>263</v>
      </c>
      <c r="C285" s="94" t="s">
        <v>1268</v>
      </c>
      <c r="D285" s="138">
        <v>1932</v>
      </c>
      <c r="E285" s="138"/>
      <c r="F285" s="167" t="s">
        <v>1402</v>
      </c>
      <c r="G285" s="138">
        <v>3</v>
      </c>
      <c r="H285" s="138">
        <v>5</v>
      </c>
      <c r="I285" s="130">
        <v>1954.2</v>
      </c>
      <c r="J285" s="130">
        <v>1319.2</v>
      </c>
      <c r="K285" s="130">
        <v>1319.2</v>
      </c>
      <c r="L285" s="139">
        <v>78</v>
      </c>
      <c r="M285" s="138" t="s">
        <v>271</v>
      </c>
      <c r="N285" s="138" t="s">
        <v>275</v>
      </c>
      <c r="O285" s="136" t="s">
        <v>1403</v>
      </c>
      <c r="P285" s="130">
        <v>8037304.830000001</v>
      </c>
      <c r="Q285" s="130">
        <v>0</v>
      </c>
      <c r="R285" s="130">
        <v>0</v>
      </c>
      <c r="S285" s="130">
        <f t="shared" si="37"/>
        <v>8037304.830000001</v>
      </c>
      <c r="T285" s="130">
        <f t="shared" si="31"/>
        <v>4112.8363678231508</v>
      </c>
      <c r="U285" s="130">
        <v>12731.438190819772</v>
      </c>
    </row>
    <row r="286" spans="1:21" s="64" customFormat="1" ht="36" customHeight="1" x14ac:dyDescent="0.9">
      <c r="A286" s="64">
        <v>1</v>
      </c>
      <c r="B286" s="96">
        <f>SUBTOTAL(103,$A$16:A286)</f>
        <v>264</v>
      </c>
      <c r="C286" s="94" t="s">
        <v>1253</v>
      </c>
      <c r="D286" s="138">
        <v>1882</v>
      </c>
      <c r="E286" s="138"/>
      <c r="F286" s="167" t="s">
        <v>273</v>
      </c>
      <c r="G286" s="138">
        <v>4</v>
      </c>
      <c r="H286" s="138">
        <v>2</v>
      </c>
      <c r="I286" s="130">
        <v>3453.2</v>
      </c>
      <c r="J286" s="130">
        <v>2382.5</v>
      </c>
      <c r="K286" s="130">
        <v>2143.5</v>
      </c>
      <c r="L286" s="139">
        <v>129</v>
      </c>
      <c r="M286" s="138" t="s">
        <v>271</v>
      </c>
      <c r="N286" s="138" t="s">
        <v>275</v>
      </c>
      <c r="O286" s="136" t="s">
        <v>752</v>
      </c>
      <c r="P286" s="130">
        <v>10475523.609999999</v>
      </c>
      <c r="Q286" s="130">
        <v>0</v>
      </c>
      <c r="R286" s="130">
        <v>0</v>
      </c>
      <c r="S286" s="130">
        <f t="shared" si="37"/>
        <v>10475523.609999999</v>
      </c>
      <c r="T286" s="130">
        <f t="shared" si="31"/>
        <v>3033.5699090698481</v>
      </c>
      <c r="U286" s="130">
        <v>3492.963567705317</v>
      </c>
    </row>
    <row r="287" spans="1:21" s="64" customFormat="1" ht="36" customHeight="1" x14ac:dyDescent="0.9">
      <c r="A287" s="64">
        <v>1</v>
      </c>
      <c r="B287" s="96">
        <f>SUBTOTAL(103,$A$16:A287)</f>
        <v>265</v>
      </c>
      <c r="C287" s="94" t="s">
        <v>1662</v>
      </c>
      <c r="D287" s="138">
        <v>1939</v>
      </c>
      <c r="E287" s="138"/>
      <c r="F287" s="167" t="s">
        <v>1674</v>
      </c>
      <c r="G287" s="138">
        <v>3</v>
      </c>
      <c r="H287" s="138">
        <v>4</v>
      </c>
      <c r="I287" s="130">
        <v>1347.1</v>
      </c>
      <c r="J287" s="130">
        <v>1141.4000000000001</v>
      </c>
      <c r="K287" s="130">
        <f>J287</f>
        <v>1141.4000000000001</v>
      </c>
      <c r="L287" s="139">
        <v>49</v>
      </c>
      <c r="M287" s="138" t="s">
        <v>271</v>
      </c>
      <c r="N287" s="138" t="s">
        <v>275</v>
      </c>
      <c r="O287" s="136" t="s">
        <v>752</v>
      </c>
      <c r="P287" s="130">
        <v>3747417.18</v>
      </c>
      <c r="Q287" s="130">
        <v>0</v>
      </c>
      <c r="R287" s="130">
        <v>0</v>
      </c>
      <c r="S287" s="130">
        <f>P287-R287-Q287</f>
        <v>3747417.18</v>
      </c>
      <c r="T287" s="130">
        <f t="shared" si="31"/>
        <v>2781.8403830450602</v>
      </c>
      <c r="U287" s="130">
        <v>3501.2148527948925</v>
      </c>
    </row>
    <row r="288" spans="1:21" s="64" customFormat="1" ht="36" customHeight="1" x14ac:dyDescent="0.9">
      <c r="B288" s="94" t="s">
        <v>861</v>
      </c>
      <c r="C288" s="94"/>
      <c r="D288" s="138" t="s">
        <v>934</v>
      </c>
      <c r="E288" s="138" t="s">
        <v>934</v>
      </c>
      <c r="F288" s="138" t="s">
        <v>934</v>
      </c>
      <c r="G288" s="138" t="s">
        <v>934</v>
      </c>
      <c r="H288" s="138" t="s">
        <v>934</v>
      </c>
      <c r="I288" s="129">
        <f>SUM(I289:I292)</f>
        <v>15661.67</v>
      </c>
      <c r="J288" s="129">
        <f t="shared" ref="J288:L288" si="38">SUM(J289:J292)</f>
        <v>11320.82</v>
      </c>
      <c r="K288" s="129">
        <f t="shared" si="38"/>
        <v>10924.42</v>
      </c>
      <c r="L288" s="139">
        <f t="shared" si="38"/>
        <v>532</v>
      </c>
      <c r="M288" s="138" t="s">
        <v>934</v>
      </c>
      <c r="N288" s="138" t="s">
        <v>934</v>
      </c>
      <c r="O288" s="136" t="s">
        <v>934</v>
      </c>
      <c r="P288" s="130">
        <v>17002898.350000001</v>
      </c>
      <c r="Q288" s="130">
        <f t="shared" ref="Q288:S288" si="39">SUM(Q289:Q292)</f>
        <v>0</v>
      </c>
      <c r="R288" s="130">
        <f t="shared" si="39"/>
        <v>0</v>
      </c>
      <c r="S288" s="130">
        <f t="shared" si="39"/>
        <v>17002898.350000001</v>
      </c>
      <c r="T288" s="130">
        <f t="shared" si="31"/>
        <v>1085.6376331515094</v>
      </c>
      <c r="U288" s="130">
        <f>MAX(U289:U292)</f>
        <v>3160.94</v>
      </c>
    </row>
    <row r="289" spans="1:21" s="64" customFormat="1" ht="36" customHeight="1" x14ac:dyDescent="0.9">
      <c r="A289" s="64">
        <v>1</v>
      </c>
      <c r="B289" s="96">
        <f>SUBTOTAL(103,$A$16:A289)</f>
        <v>266</v>
      </c>
      <c r="C289" s="94" t="s">
        <v>693</v>
      </c>
      <c r="D289" s="138">
        <v>1972</v>
      </c>
      <c r="E289" s="138"/>
      <c r="F289" s="167" t="s">
        <v>273</v>
      </c>
      <c r="G289" s="138">
        <v>5</v>
      </c>
      <c r="H289" s="138">
        <v>4</v>
      </c>
      <c r="I289" s="130">
        <v>4295.76</v>
      </c>
      <c r="J289" s="130">
        <v>3325.76</v>
      </c>
      <c r="K289" s="130">
        <v>3325.76</v>
      </c>
      <c r="L289" s="139">
        <v>137</v>
      </c>
      <c r="M289" s="138" t="s">
        <v>271</v>
      </c>
      <c r="N289" s="138" t="s">
        <v>275</v>
      </c>
      <c r="O289" s="136" t="s">
        <v>1053</v>
      </c>
      <c r="P289" s="130">
        <v>6202548</v>
      </c>
      <c r="Q289" s="130">
        <v>0</v>
      </c>
      <c r="R289" s="130">
        <v>0</v>
      </c>
      <c r="S289" s="130">
        <f t="shared" ref="S289:S292" si="40">P289-Q289-R289</f>
        <v>6202548</v>
      </c>
      <c r="T289" s="130">
        <f t="shared" si="31"/>
        <v>1443.8767528912228</v>
      </c>
      <c r="U289" s="130">
        <v>1671.8826191407341</v>
      </c>
    </row>
    <row r="290" spans="1:21" s="64" customFormat="1" ht="36" customHeight="1" x14ac:dyDescent="0.9">
      <c r="A290" s="64">
        <v>1</v>
      </c>
      <c r="B290" s="96">
        <f>SUBTOTAL(103,$A$16:A290)</f>
        <v>267</v>
      </c>
      <c r="C290" s="94" t="s">
        <v>690</v>
      </c>
      <c r="D290" s="138">
        <v>1978</v>
      </c>
      <c r="E290" s="138"/>
      <c r="F290" s="167" t="s">
        <v>273</v>
      </c>
      <c r="G290" s="138">
        <v>3</v>
      </c>
      <c r="H290" s="138">
        <v>2</v>
      </c>
      <c r="I290" s="130">
        <v>1569.6</v>
      </c>
      <c r="J290" s="130">
        <v>1094.4000000000001</v>
      </c>
      <c r="K290" s="130">
        <v>1094.4000000000001</v>
      </c>
      <c r="L290" s="139">
        <v>59</v>
      </c>
      <c r="M290" s="138" t="s">
        <v>271</v>
      </c>
      <c r="N290" s="138" t="s">
        <v>275</v>
      </c>
      <c r="O290" s="136" t="s">
        <v>1054</v>
      </c>
      <c r="P290" s="130">
        <v>3579794.97</v>
      </c>
      <c r="Q290" s="130">
        <v>0</v>
      </c>
      <c r="R290" s="130">
        <v>0</v>
      </c>
      <c r="S290" s="130">
        <f t="shared" si="40"/>
        <v>3579794.97</v>
      </c>
      <c r="T290" s="130">
        <f t="shared" si="31"/>
        <v>2280.7052561162081</v>
      </c>
      <c r="U290" s="130">
        <v>3160.94</v>
      </c>
    </row>
    <row r="291" spans="1:21" s="64" customFormat="1" ht="36" customHeight="1" x14ac:dyDescent="0.9">
      <c r="A291" s="64">
        <v>1</v>
      </c>
      <c r="B291" s="96">
        <f>SUBTOTAL(103,$A$16:A291)</f>
        <v>268</v>
      </c>
      <c r="C291" s="94" t="s">
        <v>1269</v>
      </c>
      <c r="D291" s="138">
        <v>1968</v>
      </c>
      <c r="E291" s="138"/>
      <c r="F291" s="167" t="s">
        <v>273</v>
      </c>
      <c r="G291" s="138">
        <v>5</v>
      </c>
      <c r="H291" s="138">
        <v>4</v>
      </c>
      <c r="I291" s="130">
        <v>4460.8999999999996</v>
      </c>
      <c r="J291" s="130">
        <v>2874.85</v>
      </c>
      <c r="K291" s="130">
        <v>2874.85</v>
      </c>
      <c r="L291" s="139">
        <v>114</v>
      </c>
      <c r="M291" s="138" t="s">
        <v>271</v>
      </c>
      <c r="N291" s="138" t="s">
        <v>275</v>
      </c>
      <c r="O291" s="136" t="s">
        <v>1404</v>
      </c>
      <c r="P291" s="130">
        <v>3650965.3</v>
      </c>
      <c r="Q291" s="130">
        <v>0</v>
      </c>
      <c r="R291" s="130">
        <v>0</v>
      </c>
      <c r="S291" s="130">
        <f t="shared" si="40"/>
        <v>3650965.3</v>
      </c>
      <c r="T291" s="130">
        <f t="shared" si="31"/>
        <v>818.43692976753573</v>
      </c>
      <c r="U291" s="130">
        <v>1158.7052612701473</v>
      </c>
    </row>
    <row r="292" spans="1:21" s="64" customFormat="1" ht="36" customHeight="1" x14ac:dyDescent="0.9">
      <c r="A292" s="64">
        <v>1</v>
      </c>
      <c r="B292" s="96">
        <f>SUBTOTAL(103,$A$16:A292)</f>
        <v>269</v>
      </c>
      <c r="C292" s="94" t="s">
        <v>1255</v>
      </c>
      <c r="D292" s="138">
        <v>1990</v>
      </c>
      <c r="E292" s="138"/>
      <c r="F292" s="167" t="s">
        <v>273</v>
      </c>
      <c r="G292" s="138">
        <v>5</v>
      </c>
      <c r="H292" s="138">
        <v>6</v>
      </c>
      <c r="I292" s="130">
        <v>5335.41</v>
      </c>
      <c r="J292" s="130">
        <v>4025.81</v>
      </c>
      <c r="K292" s="130">
        <v>3629.41</v>
      </c>
      <c r="L292" s="139">
        <v>222</v>
      </c>
      <c r="M292" s="138" t="s">
        <v>271</v>
      </c>
      <c r="N292" s="138" t="s">
        <v>275</v>
      </c>
      <c r="O292" s="136" t="s">
        <v>1390</v>
      </c>
      <c r="P292" s="130">
        <v>3569590.08</v>
      </c>
      <c r="Q292" s="130">
        <v>0</v>
      </c>
      <c r="R292" s="130">
        <v>0</v>
      </c>
      <c r="S292" s="130">
        <f t="shared" si="40"/>
        <v>3569590.08</v>
      </c>
      <c r="T292" s="130">
        <f t="shared" si="31"/>
        <v>669.03763347146707</v>
      </c>
      <c r="U292" s="130">
        <v>1309.730126457011</v>
      </c>
    </row>
    <row r="293" spans="1:21" s="64" customFormat="1" ht="36" customHeight="1" x14ac:dyDescent="0.9">
      <c r="B293" s="94" t="s">
        <v>1349</v>
      </c>
      <c r="C293" s="94"/>
      <c r="D293" s="138" t="s">
        <v>934</v>
      </c>
      <c r="E293" s="138" t="s">
        <v>934</v>
      </c>
      <c r="F293" s="138" t="s">
        <v>934</v>
      </c>
      <c r="G293" s="138" t="s">
        <v>934</v>
      </c>
      <c r="H293" s="138" t="s">
        <v>934</v>
      </c>
      <c r="I293" s="129">
        <f>I294</f>
        <v>762</v>
      </c>
      <c r="J293" s="129">
        <f t="shared" ref="J293:L293" si="41">J294</f>
        <v>709</v>
      </c>
      <c r="K293" s="129">
        <f t="shared" si="41"/>
        <v>709</v>
      </c>
      <c r="L293" s="139">
        <f t="shared" si="41"/>
        <v>12</v>
      </c>
      <c r="M293" s="138" t="s">
        <v>934</v>
      </c>
      <c r="N293" s="138" t="s">
        <v>934</v>
      </c>
      <c r="O293" s="136" t="s">
        <v>934</v>
      </c>
      <c r="P293" s="130">
        <v>509455.14</v>
      </c>
      <c r="Q293" s="130">
        <f t="shared" ref="Q293:S293" si="42">Q294</f>
        <v>0</v>
      </c>
      <c r="R293" s="130">
        <f t="shared" si="42"/>
        <v>0</v>
      </c>
      <c r="S293" s="130">
        <f t="shared" si="42"/>
        <v>509455.14</v>
      </c>
      <c r="T293" s="130">
        <f t="shared" si="31"/>
        <v>668.57629921259843</v>
      </c>
      <c r="U293" s="130">
        <f>U294</f>
        <v>703.11</v>
      </c>
    </row>
    <row r="294" spans="1:21" s="64" customFormat="1" ht="36" customHeight="1" x14ac:dyDescent="0.9">
      <c r="A294" s="64">
        <v>1</v>
      </c>
      <c r="B294" s="96">
        <f>SUBTOTAL(103,$A$16:A294)</f>
        <v>270</v>
      </c>
      <c r="C294" s="94" t="s">
        <v>1254</v>
      </c>
      <c r="D294" s="138">
        <v>1967</v>
      </c>
      <c r="E294" s="138"/>
      <c r="F294" s="167" t="s">
        <v>273</v>
      </c>
      <c r="G294" s="138">
        <v>2</v>
      </c>
      <c r="H294" s="138">
        <v>2</v>
      </c>
      <c r="I294" s="130">
        <v>762</v>
      </c>
      <c r="J294" s="130">
        <v>709</v>
      </c>
      <c r="K294" s="130">
        <v>709</v>
      </c>
      <c r="L294" s="139">
        <v>12</v>
      </c>
      <c r="M294" s="138" t="s">
        <v>271</v>
      </c>
      <c r="N294" s="138" t="s">
        <v>289</v>
      </c>
      <c r="O294" s="136" t="s">
        <v>274</v>
      </c>
      <c r="P294" s="130">
        <v>509455.14</v>
      </c>
      <c r="Q294" s="130">
        <v>0</v>
      </c>
      <c r="R294" s="130">
        <v>0</v>
      </c>
      <c r="S294" s="130">
        <f>P294-Q294-R294</f>
        <v>509455.14</v>
      </c>
      <c r="T294" s="130">
        <f t="shared" si="31"/>
        <v>668.57629921259843</v>
      </c>
      <c r="U294" s="130">
        <v>703.11</v>
      </c>
    </row>
    <row r="295" spans="1:21" s="64" customFormat="1" ht="36" customHeight="1" x14ac:dyDescent="0.9">
      <c r="B295" s="94" t="s">
        <v>862</v>
      </c>
      <c r="C295" s="126"/>
      <c r="D295" s="138" t="s">
        <v>934</v>
      </c>
      <c r="E295" s="138" t="s">
        <v>934</v>
      </c>
      <c r="F295" s="138" t="s">
        <v>934</v>
      </c>
      <c r="G295" s="138" t="s">
        <v>934</v>
      </c>
      <c r="H295" s="138" t="s">
        <v>934</v>
      </c>
      <c r="I295" s="129">
        <f>SUM(I296:I297)</f>
        <v>2259.1</v>
      </c>
      <c r="J295" s="129">
        <f t="shared" ref="J295:L295" si="43">SUM(J296:J297)</f>
        <v>2114.1</v>
      </c>
      <c r="K295" s="129">
        <f t="shared" si="43"/>
        <v>2070.3000000000002</v>
      </c>
      <c r="L295" s="139">
        <f t="shared" si="43"/>
        <v>104</v>
      </c>
      <c r="M295" s="138" t="s">
        <v>934</v>
      </c>
      <c r="N295" s="138" t="s">
        <v>934</v>
      </c>
      <c r="O295" s="136" t="s">
        <v>934</v>
      </c>
      <c r="P295" s="130">
        <v>6114371.4100000001</v>
      </c>
      <c r="Q295" s="130">
        <f t="shared" ref="Q295:S295" si="44">SUM(Q296:Q297)</f>
        <v>0</v>
      </c>
      <c r="R295" s="130">
        <f t="shared" si="44"/>
        <v>0</v>
      </c>
      <c r="S295" s="130">
        <f t="shared" si="44"/>
        <v>6114371.4100000001</v>
      </c>
      <c r="T295" s="130">
        <f t="shared" si="31"/>
        <v>2706.5519056261346</v>
      </c>
      <c r="U295" s="130">
        <f>MAX(U296:U297)</f>
        <v>3865.2060490045942</v>
      </c>
    </row>
    <row r="296" spans="1:21" s="64" customFormat="1" ht="36" customHeight="1" x14ac:dyDescent="0.9">
      <c r="A296" s="64">
        <v>1</v>
      </c>
      <c r="B296" s="96">
        <f>SUBTOTAL(103,$A$16:A296)</f>
        <v>271</v>
      </c>
      <c r="C296" s="94" t="s">
        <v>718</v>
      </c>
      <c r="D296" s="138">
        <v>1982</v>
      </c>
      <c r="E296" s="138"/>
      <c r="F296" s="167" t="s">
        <v>273</v>
      </c>
      <c r="G296" s="138">
        <v>3</v>
      </c>
      <c r="H296" s="138">
        <v>3</v>
      </c>
      <c r="I296" s="130">
        <v>1997.9</v>
      </c>
      <c r="J296" s="130">
        <v>1878</v>
      </c>
      <c r="K296" s="130">
        <v>1878</v>
      </c>
      <c r="L296" s="139">
        <v>88</v>
      </c>
      <c r="M296" s="138" t="s">
        <v>271</v>
      </c>
      <c r="N296" s="138" t="s">
        <v>272</v>
      </c>
      <c r="O296" s="136" t="s">
        <v>274</v>
      </c>
      <c r="P296" s="130">
        <v>5700737.6600000001</v>
      </c>
      <c r="Q296" s="130">
        <v>0</v>
      </c>
      <c r="R296" s="130">
        <v>0</v>
      </c>
      <c r="S296" s="130">
        <f t="shared" ref="S296:S297" si="45">P296-Q296-R296</f>
        <v>5700737.6600000001</v>
      </c>
      <c r="T296" s="130">
        <f t="shared" si="31"/>
        <v>2853.3648631062615</v>
      </c>
      <c r="U296" s="130">
        <f>T296</f>
        <v>2853.3648631062615</v>
      </c>
    </row>
    <row r="297" spans="1:21" s="64" customFormat="1" ht="36" customHeight="1" x14ac:dyDescent="0.9">
      <c r="A297" s="64">
        <v>1</v>
      </c>
      <c r="B297" s="96">
        <f>SUBTOTAL(103,$A$16:A297)</f>
        <v>272</v>
      </c>
      <c r="C297" s="94" t="s">
        <v>716</v>
      </c>
      <c r="D297" s="138">
        <v>1905</v>
      </c>
      <c r="E297" s="138"/>
      <c r="F297" s="167" t="s">
        <v>273</v>
      </c>
      <c r="G297" s="138">
        <v>2</v>
      </c>
      <c r="H297" s="138">
        <v>1</v>
      </c>
      <c r="I297" s="130">
        <v>261.2</v>
      </c>
      <c r="J297" s="130">
        <v>236.1</v>
      </c>
      <c r="K297" s="130">
        <v>192.3</v>
      </c>
      <c r="L297" s="139">
        <v>16</v>
      </c>
      <c r="M297" s="138" t="s">
        <v>271</v>
      </c>
      <c r="N297" s="138" t="s">
        <v>272</v>
      </c>
      <c r="O297" s="136" t="s">
        <v>274</v>
      </c>
      <c r="P297" s="130">
        <v>413633.75</v>
      </c>
      <c r="Q297" s="130">
        <v>0</v>
      </c>
      <c r="R297" s="130">
        <v>0</v>
      </c>
      <c r="S297" s="130">
        <f t="shared" si="45"/>
        <v>413633.75</v>
      </c>
      <c r="T297" s="130">
        <f t="shared" si="31"/>
        <v>1583.5901607963247</v>
      </c>
      <c r="U297" s="130">
        <v>3865.2060490045942</v>
      </c>
    </row>
    <row r="298" spans="1:21" s="64" customFormat="1" ht="36" customHeight="1" x14ac:dyDescent="0.9">
      <c r="B298" s="94" t="s">
        <v>863</v>
      </c>
      <c r="C298" s="94"/>
      <c r="D298" s="138" t="s">
        <v>934</v>
      </c>
      <c r="E298" s="138" t="s">
        <v>934</v>
      </c>
      <c r="F298" s="138" t="s">
        <v>934</v>
      </c>
      <c r="G298" s="138" t="s">
        <v>934</v>
      </c>
      <c r="H298" s="138" t="s">
        <v>934</v>
      </c>
      <c r="I298" s="129">
        <f>SUM(I299:I303)</f>
        <v>4271.2</v>
      </c>
      <c r="J298" s="129">
        <f t="shared" ref="J298:L298" si="46">SUM(J299:J303)</f>
        <v>3882.2</v>
      </c>
      <c r="K298" s="129">
        <f t="shared" si="46"/>
        <v>3661.5999999999995</v>
      </c>
      <c r="L298" s="139">
        <f t="shared" si="46"/>
        <v>161</v>
      </c>
      <c r="M298" s="138" t="s">
        <v>934</v>
      </c>
      <c r="N298" s="138" t="s">
        <v>934</v>
      </c>
      <c r="O298" s="136" t="s">
        <v>934</v>
      </c>
      <c r="P298" s="130">
        <v>13474518.75</v>
      </c>
      <c r="Q298" s="130">
        <f t="shared" ref="Q298:S298" si="47">SUM(Q299:Q303)</f>
        <v>0</v>
      </c>
      <c r="R298" s="130">
        <f t="shared" si="47"/>
        <v>0</v>
      </c>
      <c r="S298" s="130">
        <f t="shared" si="47"/>
        <v>13474518.75</v>
      </c>
      <c r="T298" s="130">
        <f t="shared" si="31"/>
        <v>3154.7384224573893</v>
      </c>
      <c r="U298" s="130">
        <f>MAX(U299:U303)</f>
        <v>6916.8013312693511</v>
      </c>
    </row>
    <row r="299" spans="1:21" s="64" customFormat="1" ht="36" customHeight="1" x14ac:dyDescent="0.9">
      <c r="A299" s="64">
        <v>1</v>
      </c>
      <c r="B299" s="96">
        <f>SUBTOTAL(103,$A$16:A299)</f>
        <v>273</v>
      </c>
      <c r="C299" s="94" t="s">
        <v>731</v>
      </c>
      <c r="D299" s="138">
        <v>1968</v>
      </c>
      <c r="E299" s="138">
        <v>2010</v>
      </c>
      <c r="F299" s="167" t="s">
        <v>273</v>
      </c>
      <c r="G299" s="138">
        <v>2</v>
      </c>
      <c r="H299" s="138">
        <v>2</v>
      </c>
      <c r="I299" s="130">
        <v>794.9</v>
      </c>
      <c r="J299" s="130">
        <v>734.9</v>
      </c>
      <c r="K299" s="130">
        <v>734.9</v>
      </c>
      <c r="L299" s="139">
        <v>21</v>
      </c>
      <c r="M299" s="138" t="s">
        <v>271</v>
      </c>
      <c r="N299" s="138" t="s">
        <v>349</v>
      </c>
      <c r="O299" s="136" t="s">
        <v>757</v>
      </c>
      <c r="P299" s="130">
        <v>2242518.08</v>
      </c>
      <c r="Q299" s="130">
        <v>0</v>
      </c>
      <c r="R299" s="130">
        <v>0</v>
      </c>
      <c r="S299" s="130">
        <f t="shared" ref="S299:S303" si="48">P299-Q299-R299</f>
        <v>2242518.08</v>
      </c>
      <c r="T299" s="130">
        <f t="shared" si="31"/>
        <v>2821.1323185306328</v>
      </c>
      <c r="U299" s="130">
        <v>5491.6682060636558</v>
      </c>
    </row>
    <row r="300" spans="1:21" s="64" customFormat="1" ht="36" customHeight="1" x14ac:dyDescent="0.9">
      <c r="A300" s="64">
        <v>1</v>
      </c>
      <c r="B300" s="96">
        <f>SUBTOTAL(103,$A$16:A300)</f>
        <v>274</v>
      </c>
      <c r="C300" s="94" t="s">
        <v>1272</v>
      </c>
      <c r="D300" s="138">
        <v>1962</v>
      </c>
      <c r="E300" s="138"/>
      <c r="F300" s="167" t="s">
        <v>273</v>
      </c>
      <c r="G300" s="138">
        <v>2</v>
      </c>
      <c r="H300" s="138">
        <v>2</v>
      </c>
      <c r="I300" s="130">
        <v>722.8</v>
      </c>
      <c r="J300" s="130">
        <v>668.8</v>
      </c>
      <c r="K300" s="130">
        <v>668.8</v>
      </c>
      <c r="L300" s="139">
        <v>29</v>
      </c>
      <c r="M300" s="138" t="s">
        <v>271</v>
      </c>
      <c r="N300" s="138" t="s">
        <v>349</v>
      </c>
      <c r="O300" s="136" t="s">
        <v>766</v>
      </c>
      <c r="P300" s="130">
        <v>3342143.64</v>
      </c>
      <c r="Q300" s="130">
        <v>0</v>
      </c>
      <c r="R300" s="130">
        <v>0</v>
      </c>
      <c r="S300" s="130">
        <f t="shared" si="48"/>
        <v>3342143.64</v>
      </c>
      <c r="T300" s="130">
        <f t="shared" si="31"/>
        <v>4623.8843940232437</v>
      </c>
      <c r="U300" s="130">
        <v>6436.2643165467634</v>
      </c>
    </row>
    <row r="301" spans="1:21" s="64" customFormat="1" ht="36" customHeight="1" x14ac:dyDescent="0.9">
      <c r="A301" s="64">
        <v>1</v>
      </c>
      <c r="B301" s="96">
        <f>SUBTOTAL(103,$A$16:A301)</f>
        <v>275</v>
      </c>
      <c r="C301" s="94" t="s">
        <v>1273</v>
      </c>
      <c r="D301" s="138">
        <v>1961</v>
      </c>
      <c r="E301" s="138"/>
      <c r="F301" s="167" t="s">
        <v>273</v>
      </c>
      <c r="G301" s="138">
        <v>2</v>
      </c>
      <c r="H301" s="138">
        <v>1</v>
      </c>
      <c r="I301" s="130">
        <v>678.3</v>
      </c>
      <c r="J301" s="130">
        <v>561.4</v>
      </c>
      <c r="K301" s="130">
        <v>388.6</v>
      </c>
      <c r="L301" s="139">
        <v>26</v>
      </c>
      <c r="M301" s="138" t="s">
        <v>271</v>
      </c>
      <c r="N301" s="138" t="s">
        <v>349</v>
      </c>
      <c r="O301" s="136" t="s">
        <v>766</v>
      </c>
      <c r="P301" s="130">
        <v>3337360.9</v>
      </c>
      <c r="Q301" s="130">
        <v>0</v>
      </c>
      <c r="R301" s="130">
        <v>0</v>
      </c>
      <c r="S301" s="130">
        <f t="shared" si="48"/>
        <v>3337360.9</v>
      </c>
      <c r="T301" s="130">
        <f t="shared" si="31"/>
        <v>4920.1841368126197</v>
      </c>
      <c r="U301" s="130">
        <v>6916.8013312693511</v>
      </c>
    </row>
    <row r="302" spans="1:21" s="64" customFormat="1" ht="36" customHeight="1" x14ac:dyDescent="0.9">
      <c r="A302" s="64">
        <v>1</v>
      </c>
      <c r="B302" s="96">
        <f>SUBTOTAL(103,$A$16:A302)</f>
        <v>276</v>
      </c>
      <c r="C302" s="94" t="s">
        <v>1274</v>
      </c>
      <c r="D302" s="138">
        <v>1975</v>
      </c>
      <c r="E302" s="138"/>
      <c r="F302" s="167" t="s">
        <v>273</v>
      </c>
      <c r="G302" s="138">
        <v>2</v>
      </c>
      <c r="H302" s="138">
        <v>2</v>
      </c>
      <c r="I302" s="130">
        <v>984.2</v>
      </c>
      <c r="J302" s="130">
        <v>894.4</v>
      </c>
      <c r="K302" s="130">
        <v>846.6</v>
      </c>
      <c r="L302" s="139">
        <v>46</v>
      </c>
      <c r="M302" s="138" t="s">
        <v>271</v>
      </c>
      <c r="N302" s="138" t="s">
        <v>349</v>
      </c>
      <c r="O302" s="136" t="s">
        <v>766</v>
      </c>
      <c r="P302" s="130">
        <v>1087450.3500000001</v>
      </c>
      <c r="Q302" s="130">
        <v>0</v>
      </c>
      <c r="R302" s="130">
        <v>0</v>
      </c>
      <c r="S302" s="130">
        <f t="shared" si="48"/>
        <v>1087450.3500000001</v>
      </c>
      <c r="T302" s="130">
        <f t="shared" si="31"/>
        <v>1104.9078947368421</v>
      </c>
      <c r="U302" s="130">
        <v>3023.77</v>
      </c>
    </row>
    <row r="303" spans="1:21" s="64" customFormat="1" ht="36" customHeight="1" x14ac:dyDescent="0.9">
      <c r="A303" s="64">
        <v>1</v>
      </c>
      <c r="B303" s="96">
        <f>SUBTOTAL(103,$A$16:A303)</f>
        <v>277</v>
      </c>
      <c r="C303" s="94" t="s">
        <v>1275</v>
      </c>
      <c r="D303" s="138">
        <v>1992</v>
      </c>
      <c r="E303" s="138"/>
      <c r="F303" s="167" t="s">
        <v>273</v>
      </c>
      <c r="G303" s="138">
        <v>3</v>
      </c>
      <c r="H303" s="138">
        <v>2</v>
      </c>
      <c r="I303" s="130">
        <v>1091</v>
      </c>
      <c r="J303" s="130">
        <v>1022.7</v>
      </c>
      <c r="K303" s="130">
        <v>1022.7</v>
      </c>
      <c r="L303" s="139">
        <v>39</v>
      </c>
      <c r="M303" s="138" t="s">
        <v>271</v>
      </c>
      <c r="N303" s="138" t="s">
        <v>275</v>
      </c>
      <c r="O303" s="136" t="s">
        <v>1414</v>
      </c>
      <c r="P303" s="130">
        <v>3465045.78</v>
      </c>
      <c r="Q303" s="130">
        <v>0</v>
      </c>
      <c r="R303" s="130">
        <v>0</v>
      </c>
      <c r="S303" s="130">
        <f t="shared" si="48"/>
        <v>3465045.78</v>
      </c>
      <c r="T303" s="130">
        <f t="shared" si="31"/>
        <v>3176.0272960586617</v>
      </c>
      <c r="U303" s="130">
        <v>3176.0272960586617</v>
      </c>
    </row>
    <row r="304" spans="1:21" s="64" customFormat="1" ht="36" customHeight="1" x14ac:dyDescent="0.9">
      <c r="B304" s="94" t="s">
        <v>864</v>
      </c>
      <c r="C304" s="94"/>
      <c r="D304" s="138" t="s">
        <v>934</v>
      </c>
      <c r="E304" s="138" t="s">
        <v>934</v>
      </c>
      <c r="F304" s="138" t="s">
        <v>934</v>
      </c>
      <c r="G304" s="138" t="s">
        <v>934</v>
      </c>
      <c r="H304" s="138" t="s">
        <v>934</v>
      </c>
      <c r="I304" s="129">
        <f>SUM(I305:I309)</f>
        <v>2996.9</v>
      </c>
      <c r="J304" s="129">
        <f t="shared" ref="J304:L304" si="49">SUM(J305:J309)</f>
        <v>2371.2000000000003</v>
      </c>
      <c r="K304" s="129">
        <f t="shared" si="49"/>
        <v>1491.3</v>
      </c>
      <c r="L304" s="139">
        <f t="shared" si="49"/>
        <v>130</v>
      </c>
      <c r="M304" s="138" t="s">
        <v>934</v>
      </c>
      <c r="N304" s="138" t="s">
        <v>934</v>
      </c>
      <c r="O304" s="136" t="s">
        <v>934</v>
      </c>
      <c r="P304" s="130">
        <v>4109300.7899999996</v>
      </c>
      <c r="Q304" s="130">
        <f t="shared" ref="Q304:S304" si="50">SUM(Q305:Q309)</f>
        <v>0</v>
      </c>
      <c r="R304" s="130">
        <f t="shared" si="50"/>
        <v>0</v>
      </c>
      <c r="S304" s="130">
        <f t="shared" si="50"/>
        <v>4109300.7899999996</v>
      </c>
      <c r="T304" s="130">
        <f t="shared" si="31"/>
        <v>1371.1838199472786</v>
      </c>
      <c r="U304" s="130">
        <f>MAX(U305:U309)</f>
        <v>4024.8968590604027</v>
      </c>
    </row>
    <row r="305" spans="1:21" s="64" customFormat="1" ht="36" customHeight="1" x14ac:dyDescent="0.9">
      <c r="A305" s="64">
        <v>1</v>
      </c>
      <c r="B305" s="96">
        <f>SUBTOTAL(103,$A$16:A305)</f>
        <v>278</v>
      </c>
      <c r="C305" s="94" t="s">
        <v>732</v>
      </c>
      <c r="D305" s="138">
        <v>1962</v>
      </c>
      <c r="E305" s="138"/>
      <c r="F305" s="167" t="s">
        <v>273</v>
      </c>
      <c r="G305" s="138">
        <v>2</v>
      </c>
      <c r="H305" s="138">
        <v>2</v>
      </c>
      <c r="I305" s="130">
        <v>745</v>
      </c>
      <c r="J305" s="130">
        <v>657.6</v>
      </c>
      <c r="K305" s="130">
        <v>41.5</v>
      </c>
      <c r="L305" s="139">
        <v>48</v>
      </c>
      <c r="M305" s="138" t="s">
        <v>271</v>
      </c>
      <c r="N305" s="138" t="s">
        <v>272</v>
      </c>
      <c r="O305" s="136" t="s">
        <v>274</v>
      </c>
      <c r="P305" s="130">
        <v>2525399.5999999996</v>
      </c>
      <c r="Q305" s="130">
        <v>0</v>
      </c>
      <c r="R305" s="130">
        <v>0</v>
      </c>
      <c r="S305" s="130">
        <f t="shared" ref="S305:S309" si="51">P305-Q305-R305</f>
        <v>2525399.5999999996</v>
      </c>
      <c r="T305" s="130">
        <f t="shared" si="31"/>
        <v>3389.7981208053689</v>
      </c>
      <c r="U305" s="130">
        <v>4024.8968590604027</v>
      </c>
    </row>
    <row r="306" spans="1:21" s="64" customFormat="1" ht="36" customHeight="1" x14ac:dyDescent="0.9">
      <c r="A306" s="64">
        <v>1</v>
      </c>
      <c r="B306" s="96">
        <f>SUBTOTAL(103,$A$16:A306)</f>
        <v>279</v>
      </c>
      <c r="C306" s="94" t="s">
        <v>724</v>
      </c>
      <c r="D306" s="138">
        <v>1938</v>
      </c>
      <c r="E306" s="138"/>
      <c r="F306" s="167" t="s">
        <v>338</v>
      </c>
      <c r="G306" s="138">
        <v>2</v>
      </c>
      <c r="H306" s="138">
        <v>1</v>
      </c>
      <c r="I306" s="130">
        <v>244.9</v>
      </c>
      <c r="J306" s="130">
        <v>223.9</v>
      </c>
      <c r="K306" s="130">
        <v>210.8</v>
      </c>
      <c r="L306" s="139">
        <v>15</v>
      </c>
      <c r="M306" s="138" t="s">
        <v>271</v>
      </c>
      <c r="N306" s="138" t="s">
        <v>272</v>
      </c>
      <c r="O306" s="136" t="s">
        <v>274</v>
      </c>
      <c r="P306" s="130">
        <v>197764.79</v>
      </c>
      <c r="Q306" s="130">
        <v>0</v>
      </c>
      <c r="R306" s="130">
        <v>0</v>
      </c>
      <c r="S306" s="130">
        <f t="shared" si="51"/>
        <v>197764.79</v>
      </c>
      <c r="T306" s="130">
        <f t="shared" si="31"/>
        <v>807.53282972641898</v>
      </c>
      <c r="U306" s="130">
        <v>807.53282972641898</v>
      </c>
    </row>
    <row r="307" spans="1:21" s="64" customFormat="1" ht="36" customHeight="1" x14ac:dyDescent="0.9">
      <c r="A307" s="64">
        <v>1</v>
      </c>
      <c r="B307" s="96">
        <f>SUBTOTAL(103,$A$16:A307)</f>
        <v>280</v>
      </c>
      <c r="C307" s="94" t="s">
        <v>723</v>
      </c>
      <c r="D307" s="138">
        <v>1959</v>
      </c>
      <c r="E307" s="138"/>
      <c r="F307" s="167" t="s">
        <v>273</v>
      </c>
      <c r="G307" s="138">
        <v>3</v>
      </c>
      <c r="H307" s="138">
        <v>1</v>
      </c>
      <c r="I307" s="130">
        <v>989.5</v>
      </c>
      <c r="J307" s="130">
        <v>493.8</v>
      </c>
      <c r="K307" s="130">
        <v>332</v>
      </c>
      <c r="L307" s="139">
        <v>35</v>
      </c>
      <c r="M307" s="138" t="s">
        <v>271</v>
      </c>
      <c r="N307" s="138" t="s">
        <v>272</v>
      </c>
      <c r="O307" s="136" t="s">
        <v>274</v>
      </c>
      <c r="P307" s="130">
        <v>617736.44999999995</v>
      </c>
      <c r="Q307" s="130">
        <v>0</v>
      </c>
      <c r="R307" s="130">
        <v>0</v>
      </c>
      <c r="S307" s="130">
        <f t="shared" si="51"/>
        <v>617736.44999999995</v>
      </c>
      <c r="T307" s="130">
        <f t="shared" si="31"/>
        <v>624.29151086407273</v>
      </c>
      <c r="U307" s="130">
        <v>673.78</v>
      </c>
    </row>
    <row r="308" spans="1:21" s="64" customFormat="1" ht="36" customHeight="1" x14ac:dyDescent="0.9">
      <c r="A308" s="64">
        <v>1</v>
      </c>
      <c r="B308" s="96">
        <f>SUBTOTAL(103,$A$16:A308)</f>
        <v>281</v>
      </c>
      <c r="C308" s="94" t="s">
        <v>1280</v>
      </c>
      <c r="D308" s="138">
        <v>1971</v>
      </c>
      <c r="E308" s="138"/>
      <c r="F308" s="167" t="s">
        <v>273</v>
      </c>
      <c r="G308" s="138">
        <v>2</v>
      </c>
      <c r="H308" s="138">
        <v>2</v>
      </c>
      <c r="I308" s="130">
        <v>719</v>
      </c>
      <c r="J308" s="130">
        <v>719</v>
      </c>
      <c r="K308" s="130">
        <v>668.2</v>
      </c>
      <c r="L308" s="139">
        <v>21</v>
      </c>
      <c r="M308" s="138" t="s">
        <v>271</v>
      </c>
      <c r="N308" s="138" t="s">
        <v>275</v>
      </c>
      <c r="O308" s="136" t="s">
        <v>1413</v>
      </c>
      <c r="P308" s="130">
        <v>556946.59000000008</v>
      </c>
      <c r="Q308" s="130">
        <v>0</v>
      </c>
      <c r="R308" s="130">
        <v>0</v>
      </c>
      <c r="S308" s="130">
        <f t="shared" si="51"/>
        <v>556946.59000000008</v>
      </c>
      <c r="T308" s="130">
        <f t="shared" si="31"/>
        <v>774.61278164116845</v>
      </c>
      <c r="U308" s="130">
        <v>774.61278164116845</v>
      </c>
    </row>
    <row r="309" spans="1:21" s="64" customFormat="1" ht="36" customHeight="1" x14ac:dyDescent="0.9">
      <c r="A309" s="64">
        <v>1</v>
      </c>
      <c r="B309" s="96">
        <f>SUBTOTAL(103,$A$16:A309)</f>
        <v>282</v>
      </c>
      <c r="C309" s="94" t="s">
        <v>1281</v>
      </c>
      <c r="D309" s="138" t="s">
        <v>379</v>
      </c>
      <c r="E309" s="138"/>
      <c r="F309" s="167" t="s">
        <v>273</v>
      </c>
      <c r="G309" s="138">
        <v>2</v>
      </c>
      <c r="H309" s="138">
        <v>1</v>
      </c>
      <c r="I309" s="130">
        <v>298.5</v>
      </c>
      <c r="J309" s="130">
        <v>276.89999999999998</v>
      </c>
      <c r="K309" s="130">
        <v>238.8</v>
      </c>
      <c r="L309" s="139">
        <v>11</v>
      </c>
      <c r="M309" s="138" t="s">
        <v>271</v>
      </c>
      <c r="N309" s="138" t="s">
        <v>275</v>
      </c>
      <c r="O309" s="136" t="s">
        <v>1063</v>
      </c>
      <c r="P309" s="130">
        <v>211453.36</v>
      </c>
      <c r="Q309" s="130">
        <v>0</v>
      </c>
      <c r="R309" s="130">
        <v>0</v>
      </c>
      <c r="S309" s="130">
        <f t="shared" si="51"/>
        <v>211453.36</v>
      </c>
      <c r="T309" s="130">
        <f t="shared" si="31"/>
        <v>708.38646566164152</v>
      </c>
      <c r="U309" s="130">
        <v>849.44999999999993</v>
      </c>
    </row>
    <row r="310" spans="1:21" s="64" customFormat="1" ht="36" customHeight="1" x14ac:dyDescent="0.9">
      <c r="B310" s="94" t="s">
        <v>865</v>
      </c>
      <c r="C310" s="94"/>
      <c r="D310" s="138" t="s">
        <v>934</v>
      </c>
      <c r="E310" s="138" t="s">
        <v>934</v>
      </c>
      <c r="F310" s="138" t="s">
        <v>934</v>
      </c>
      <c r="G310" s="138" t="s">
        <v>934</v>
      </c>
      <c r="H310" s="138" t="s">
        <v>934</v>
      </c>
      <c r="I310" s="129">
        <f>I311</f>
        <v>3504.3</v>
      </c>
      <c r="J310" s="129">
        <f t="shared" ref="J310:L310" si="52">J311</f>
        <v>3356</v>
      </c>
      <c r="K310" s="129">
        <f t="shared" si="52"/>
        <v>2316.9</v>
      </c>
      <c r="L310" s="139">
        <f t="shared" si="52"/>
        <v>153</v>
      </c>
      <c r="M310" s="138" t="s">
        <v>934</v>
      </c>
      <c r="N310" s="138" t="s">
        <v>934</v>
      </c>
      <c r="O310" s="136" t="s">
        <v>934</v>
      </c>
      <c r="P310" s="130">
        <v>3674943.51</v>
      </c>
      <c r="Q310" s="130">
        <f t="shared" ref="Q310:S310" si="53">Q311</f>
        <v>0</v>
      </c>
      <c r="R310" s="130">
        <f t="shared" si="53"/>
        <v>0</v>
      </c>
      <c r="S310" s="130">
        <f t="shared" si="53"/>
        <v>3674943.51</v>
      </c>
      <c r="T310" s="130">
        <f t="shared" si="31"/>
        <v>1048.6954627172329</v>
      </c>
      <c r="U310" s="130">
        <f>U311</f>
        <v>1210.8861610021972</v>
      </c>
    </row>
    <row r="311" spans="1:21" s="64" customFormat="1" ht="36" customHeight="1" x14ac:dyDescent="0.9">
      <c r="A311" s="64">
        <v>1</v>
      </c>
      <c r="B311" s="96">
        <f>SUBTOTAL(103,$A$16:A311)</f>
        <v>283</v>
      </c>
      <c r="C311" s="94" t="s">
        <v>721</v>
      </c>
      <c r="D311" s="138">
        <v>1984</v>
      </c>
      <c r="E311" s="138"/>
      <c r="F311" s="167" t="s">
        <v>344</v>
      </c>
      <c r="G311" s="138">
        <v>5</v>
      </c>
      <c r="H311" s="138">
        <v>4</v>
      </c>
      <c r="I311" s="130">
        <v>3504.3</v>
      </c>
      <c r="J311" s="130">
        <v>3356</v>
      </c>
      <c r="K311" s="130">
        <v>2316.9</v>
      </c>
      <c r="L311" s="139">
        <v>153</v>
      </c>
      <c r="M311" s="138" t="s">
        <v>271</v>
      </c>
      <c r="N311" s="138" t="s">
        <v>275</v>
      </c>
      <c r="O311" s="136" t="s">
        <v>1063</v>
      </c>
      <c r="P311" s="130">
        <v>3674943.51</v>
      </c>
      <c r="Q311" s="130">
        <v>0</v>
      </c>
      <c r="R311" s="130">
        <v>0</v>
      </c>
      <c r="S311" s="130">
        <f>P311-Q311-R311</f>
        <v>3674943.51</v>
      </c>
      <c r="T311" s="130">
        <f t="shared" si="31"/>
        <v>1048.6954627172329</v>
      </c>
      <c r="U311" s="130">
        <v>1210.8861610021972</v>
      </c>
    </row>
    <row r="312" spans="1:21" s="64" customFormat="1" ht="36" customHeight="1" x14ac:dyDescent="0.9">
      <c r="B312" s="94" t="s">
        <v>866</v>
      </c>
      <c r="C312" s="94"/>
      <c r="D312" s="138" t="s">
        <v>934</v>
      </c>
      <c r="E312" s="138" t="s">
        <v>934</v>
      </c>
      <c r="F312" s="138" t="s">
        <v>934</v>
      </c>
      <c r="G312" s="138" t="s">
        <v>934</v>
      </c>
      <c r="H312" s="138" t="s">
        <v>934</v>
      </c>
      <c r="I312" s="129">
        <f>SUM(I313:I329)</f>
        <v>39570.9</v>
      </c>
      <c r="J312" s="129">
        <f t="shared" ref="J312:L312" si="54">SUM(J313:J329)</f>
        <v>31164.500000000004</v>
      </c>
      <c r="K312" s="129">
        <f t="shared" si="54"/>
        <v>28209.999999999996</v>
      </c>
      <c r="L312" s="139">
        <f t="shared" si="54"/>
        <v>1157</v>
      </c>
      <c r="M312" s="138" t="s">
        <v>934</v>
      </c>
      <c r="N312" s="138" t="s">
        <v>934</v>
      </c>
      <c r="O312" s="136" t="s">
        <v>934</v>
      </c>
      <c r="P312" s="129">
        <v>50473058.759999998</v>
      </c>
      <c r="Q312" s="129">
        <f t="shared" ref="Q312:S312" si="55">SUM(Q313:Q329)</f>
        <v>0</v>
      </c>
      <c r="R312" s="129">
        <f t="shared" si="55"/>
        <v>0</v>
      </c>
      <c r="S312" s="129">
        <f t="shared" si="55"/>
        <v>50473058.759999998</v>
      </c>
      <c r="T312" s="130">
        <f t="shared" si="31"/>
        <v>1275.509497130467</v>
      </c>
      <c r="U312" s="130">
        <f>MAX(U313:U329)</f>
        <v>11346.249743726235</v>
      </c>
    </row>
    <row r="313" spans="1:21" s="64" customFormat="1" ht="36" customHeight="1" x14ac:dyDescent="0.9">
      <c r="A313" s="64">
        <v>1</v>
      </c>
      <c r="B313" s="96">
        <f>SUBTOTAL(103,$A$16:A313)</f>
        <v>284</v>
      </c>
      <c r="C313" s="94" t="s">
        <v>725</v>
      </c>
      <c r="D313" s="138">
        <v>1981</v>
      </c>
      <c r="E313" s="138"/>
      <c r="F313" s="167" t="s">
        <v>273</v>
      </c>
      <c r="G313" s="138">
        <v>2</v>
      </c>
      <c r="H313" s="138">
        <v>3</v>
      </c>
      <c r="I313" s="130">
        <v>975</v>
      </c>
      <c r="J313" s="130">
        <v>901.5</v>
      </c>
      <c r="K313" s="130">
        <v>901.5</v>
      </c>
      <c r="L313" s="139">
        <v>42</v>
      </c>
      <c r="M313" s="138" t="s">
        <v>271</v>
      </c>
      <c r="N313" s="138" t="s">
        <v>272</v>
      </c>
      <c r="O313" s="136" t="s">
        <v>274</v>
      </c>
      <c r="P313" s="130">
        <v>3681369</v>
      </c>
      <c r="Q313" s="130">
        <v>0</v>
      </c>
      <c r="R313" s="130">
        <v>0</v>
      </c>
      <c r="S313" s="130">
        <f t="shared" ref="S313:S327" si="56">P313-Q313-R313</f>
        <v>3681369</v>
      </c>
      <c r="T313" s="130">
        <f t="shared" si="31"/>
        <v>3775.7630769230768</v>
      </c>
      <c r="U313" s="130">
        <v>4371.3326153846156</v>
      </c>
    </row>
    <row r="314" spans="1:21" s="64" customFormat="1" ht="36" customHeight="1" x14ac:dyDescent="0.9">
      <c r="A314" s="64">
        <v>1</v>
      </c>
      <c r="B314" s="96">
        <f>SUBTOTAL(103,$A$16:A314)</f>
        <v>285</v>
      </c>
      <c r="C314" s="94" t="s">
        <v>709</v>
      </c>
      <c r="D314" s="138">
        <v>1976</v>
      </c>
      <c r="E314" s="138"/>
      <c r="F314" s="167" t="s">
        <v>273</v>
      </c>
      <c r="G314" s="138">
        <v>5</v>
      </c>
      <c r="H314" s="138">
        <v>2</v>
      </c>
      <c r="I314" s="130">
        <v>3568.3</v>
      </c>
      <c r="J314" s="130">
        <v>1111.4000000000001</v>
      </c>
      <c r="K314" s="130">
        <v>1111.4000000000001</v>
      </c>
      <c r="L314" s="139">
        <v>23</v>
      </c>
      <c r="M314" s="138" t="s">
        <v>271</v>
      </c>
      <c r="N314" s="138" t="s">
        <v>275</v>
      </c>
      <c r="O314" s="136" t="s">
        <v>758</v>
      </c>
      <c r="P314" s="130">
        <v>3924195.01</v>
      </c>
      <c r="Q314" s="130">
        <v>0</v>
      </c>
      <c r="R314" s="130">
        <v>0</v>
      </c>
      <c r="S314" s="130">
        <f t="shared" si="56"/>
        <v>3924195.01</v>
      </c>
      <c r="T314" s="130">
        <f t="shared" si="31"/>
        <v>1099.7379732645798</v>
      </c>
      <c r="U314" s="130">
        <v>1346.8992797690778</v>
      </c>
    </row>
    <row r="315" spans="1:21" s="64" customFormat="1" ht="36" customHeight="1" x14ac:dyDescent="0.9">
      <c r="A315" s="64">
        <v>1</v>
      </c>
      <c r="B315" s="96">
        <f>SUBTOTAL(103,$A$16:A315)</f>
        <v>286</v>
      </c>
      <c r="C315" s="94" t="s">
        <v>704</v>
      </c>
      <c r="D315" s="138">
        <v>1985</v>
      </c>
      <c r="E315" s="138"/>
      <c r="F315" s="167" t="s">
        <v>273</v>
      </c>
      <c r="G315" s="138">
        <v>9</v>
      </c>
      <c r="H315" s="138">
        <v>1</v>
      </c>
      <c r="I315" s="130">
        <v>4900.3</v>
      </c>
      <c r="J315" s="130">
        <v>4900</v>
      </c>
      <c r="K315" s="130">
        <v>4450.3</v>
      </c>
      <c r="L315" s="139">
        <v>123</v>
      </c>
      <c r="M315" s="138" t="s">
        <v>271</v>
      </c>
      <c r="N315" s="138" t="s">
        <v>275</v>
      </c>
      <c r="O315" s="136" t="s">
        <v>758</v>
      </c>
      <c r="P315" s="130">
        <v>1863988.34</v>
      </c>
      <c r="Q315" s="130">
        <v>0</v>
      </c>
      <c r="R315" s="130">
        <v>0</v>
      </c>
      <c r="S315" s="130">
        <f t="shared" si="56"/>
        <v>1863988.34</v>
      </c>
      <c r="T315" s="130">
        <f t="shared" si="31"/>
        <v>380.3824949492888</v>
      </c>
      <c r="U315" s="130">
        <v>458.80925657612795</v>
      </c>
    </row>
    <row r="316" spans="1:21" s="64" customFormat="1" ht="36" customHeight="1" x14ac:dyDescent="0.9">
      <c r="A316" s="64">
        <v>1</v>
      </c>
      <c r="B316" s="96">
        <f>SUBTOTAL(103,$A$16:A316)</f>
        <v>287</v>
      </c>
      <c r="C316" s="94" t="s">
        <v>705</v>
      </c>
      <c r="D316" s="138">
        <v>1992</v>
      </c>
      <c r="E316" s="138"/>
      <c r="F316" s="167" t="s">
        <v>273</v>
      </c>
      <c r="G316" s="138">
        <v>9</v>
      </c>
      <c r="H316" s="138">
        <v>1</v>
      </c>
      <c r="I316" s="130">
        <v>4865.3</v>
      </c>
      <c r="J316" s="130">
        <v>4865.3</v>
      </c>
      <c r="K316" s="130">
        <v>4560</v>
      </c>
      <c r="L316" s="139">
        <v>111</v>
      </c>
      <c r="M316" s="138" t="s">
        <v>271</v>
      </c>
      <c r="N316" s="138" t="s">
        <v>275</v>
      </c>
      <c r="O316" s="136" t="s">
        <v>758</v>
      </c>
      <c r="P316" s="130">
        <v>1863988.34</v>
      </c>
      <c r="Q316" s="130">
        <v>0</v>
      </c>
      <c r="R316" s="130">
        <v>0</v>
      </c>
      <c r="S316" s="130">
        <f t="shared" si="56"/>
        <v>1863988.34</v>
      </c>
      <c r="T316" s="130">
        <f t="shared" si="31"/>
        <v>383.11889092142314</v>
      </c>
      <c r="U316" s="130">
        <v>462.10983906439481</v>
      </c>
    </row>
    <row r="317" spans="1:21" s="64" customFormat="1" ht="36" customHeight="1" x14ac:dyDescent="0.9">
      <c r="A317" s="64">
        <v>1</v>
      </c>
      <c r="B317" s="96">
        <f>SUBTOTAL(103,$A$16:A317)</f>
        <v>288</v>
      </c>
      <c r="C317" s="94" t="s">
        <v>706</v>
      </c>
      <c r="D317" s="138">
        <v>1982</v>
      </c>
      <c r="E317" s="138"/>
      <c r="F317" s="167" t="s">
        <v>273</v>
      </c>
      <c r="G317" s="138">
        <v>9</v>
      </c>
      <c r="H317" s="138">
        <v>1</v>
      </c>
      <c r="I317" s="130">
        <v>4912.2</v>
      </c>
      <c r="J317" s="130">
        <v>2437.9</v>
      </c>
      <c r="K317" s="130">
        <v>2009.8</v>
      </c>
      <c r="L317" s="139">
        <v>134</v>
      </c>
      <c r="M317" s="138" t="s">
        <v>271</v>
      </c>
      <c r="N317" s="138" t="s">
        <v>275</v>
      </c>
      <c r="O317" s="136" t="s">
        <v>758</v>
      </c>
      <c r="P317" s="130">
        <v>1863988.32</v>
      </c>
      <c r="Q317" s="130">
        <v>0</v>
      </c>
      <c r="R317" s="130">
        <v>0</v>
      </c>
      <c r="S317" s="130">
        <f t="shared" si="56"/>
        <v>1863988.32</v>
      </c>
      <c r="T317" s="130">
        <f t="shared" si="31"/>
        <v>379.46099914498598</v>
      </c>
      <c r="U317" s="130">
        <v>457.69777289198322</v>
      </c>
    </row>
    <row r="318" spans="1:21" s="64" customFormat="1" ht="36" customHeight="1" x14ac:dyDescent="0.9">
      <c r="A318" s="64">
        <v>1</v>
      </c>
      <c r="B318" s="96">
        <f>SUBTOTAL(103,$A$16:A318)</f>
        <v>289</v>
      </c>
      <c r="C318" s="94" t="s">
        <v>699</v>
      </c>
      <c r="D318" s="138">
        <v>1994</v>
      </c>
      <c r="E318" s="138"/>
      <c r="F318" s="167" t="s">
        <v>273</v>
      </c>
      <c r="G318" s="138">
        <v>9</v>
      </c>
      <c r="H318" s="138">
        <v>1</v>
      </c>
      <c r="I318" s="130">
        <v>4455.3</v>
      </c>
      <c r="J318" s="130">
        <v>3825.3</v>
      </c>
      <c r="K318" s="130">
        <v>3825.3</v>
      </c>
      <c r="L318" s="139">
        <v>122</v>
      </c>
      <c r="M318" s="138" t="s">
        <v>271</v>
      </c>
      <c r="N318" s="138" t="s">
        <v>349</v>
      </c>
      <c r="O318" s="136" t="s">
        <v>759</v>
      </c>
      <c r="P318" s="130">
        <v>4445100</v>
      </c>
      <c r="Q318" s="130">
        <v>0</v>
      </c>
      <c r="R318" s="130">
        <v>0</v>
      </c>
      <c r="S318" s="130">
        <f t="shared" si="56"/>
        <v>4445100</v>
      </c>
      <c r="T318" s="130">
        <f t="shared" si="31"/>
        <v>997.71059187933463</v>
      </c>
      <c r="U318" s="130">
        <v>1009.2712050815882</v>
      </c>
    </row>
    <row r="319" spans="1:21" s="64" customFormat="1" ht="36" customHeight="1" x14ac:dyDescent="0.9">
      <c r="A319" s="64">
        <v>1</v>
      </c>
      <c r="B319" s="96">
        <f>SUBTOTAL(103,$A$16:A319)</f>
        <v>290</v>
      </c>
      <c r="C319" s="94" t="s">
        <v>712</v>
      </c>
      <c r="D319" s="138">
        <v>1917</v>
      </c>
      <c r="E319" s="138"/>
      <c r="F319" s="167" t="s">
        <v>273</v>
      </c>
      <c r="G319" s="138">
        <v>2</v>
      </c>
      <c r="H319" s="138">
        <v>1</v>
      </c>
      <c r="I319" s="130">
        <v>722.2</v>
      </c>
      <c r="J319" s="130">
        <v>298.5</v>
      </c>
      <c r="K319" s="130">
        <v>298.5</v>
      </c>
      <c r="L319" s="139">
        <v>8</v>
      </c>
      <c r="M319" s="138" t="s">
        <v>271</v>
      </c>
      <c r="N319" s="138" t="s">
        <v>272</v>
      </c>
      <c r="O319" s="136" t="s">
        <v>274</v>
      </c>
      <c r="P319" s="130">
        <v>2717424.7199999997</v>
      </c>
      <c r="Q319" s="130">
        <v>0</v>
      </c>
      <c r="R319" s="130">
        <v>0</v>
      </c>
      <c r="S319" s="130">
        <f t="shared" si="56"/>
        <v>2717424.7199999997</v>
      </c>
      <c r="T319" s="130">
        <f t="shared" si="31"/>
        <v>3762.70384934921</v>
      </c>
      <c r="U319" s="130">
        <v>4356.2134921074494</v>
      </c>
    </row>
    <row r="320" spans="1:21" s="64" customFormat="1" ht="36" customHeight="1" x14ac:dyDescent="0.9">
      <c r="A320" s="64">
        <v>1</v>
      </c>
      <c r="B320" s="96">
        <f>SUBTOTAL(103,$A$16:A320)</f>
        <v>291</v>
      </c>
      <c r="C320" s="94" t="s">
        <v>700</v>
      </c>
      <c r="D320" s="138">
        <v>1963</v>
      </c>
      <c r="E320" s="138"/>
      <c r="F320" s="167" t="s">
        <v>273</v>
      </c>
      <c r="G320" s="138">
        <v>3</v>
      </c>
      <c r="H320" s="138">
        <v>3</v>
      </c>
      <c r="I320" s="130">
        <v>1703.8</v>
      </c>
      <c r="J320" s="130">
        <v>1339.8</v>
      </c>
      <c r="K320" s="130">
        <v>1300</v>
      </c>
      <c r="L320" s="139">
        <v>56</v>
      </c>
      <c r="M320" s="138" t="s">
        <v>271</v>
      </c>
      <c r="N320" s="138" t="s">
        <v>275</v>
      </c>
      <c r="O320" s="136" t="s">
        <v>760</v>
      </c>
      <c r="P320" s="130">
        <v>3885966.56</v>
      </c>
      <c r="Q320" s="130">
        <v>0</v>
      </c>
      <c r="R320" s="130">
        <v>0</v>
      </c>
      <c r="S320" s="130">
        <f t="shared" si="56"/>
        <v>3885966.56</v>
      </c>
      <c r="T320" s="130">
        <f t="shared" si="31"/>
        <v>2280.7645028759243</v>
      </c>
      <c r="U320" s="130">
        <v>2692.3905669679539</v>
      </c>
    </row>
    <row r="321" spans="1:21" s="64" customFormat="1" ht="36" customHeight="1" x14ac:dyDescent="0.9">
      <c r="A321" s="64">
        <v>1</v>
      </c>
      <c r="B321" s="96">
        <f>SUBTOTAL(103,$A$16:A321)</f>
        <v>292</v>
      </c>
      <c r="C321" s="94" t="s">
        <v>696</v>
      </c>
      <c r="D321" s="138">
        <v>1927</v>
      </c>
      <c r="E321" s="138"/>
      <c r="F321" s="167" t="s">
        <v>273</v>
      </c>
      <c r="G321" s="138">
        <v>2</v>
      </c>
      <c r="H321" s="138">
        <v>2</v>
      </c>
      <c r="I321" s="130">
        <v>525.4</v>
      </c>
      <c r="J321" s="130">
        <v>408.7</v>
      </c>
      <c r="K321" s="130">
        <v>282</v>
      </c>
      <c r="L321" s="139">
        <v>32</v>
      </c>
      <c r="M321" s="138" t="s">
        <v>271</v>
      </c>
      <c r="N321" s="138" t="s">
        <v>272</v>
      </c>
      <c r="O321" s="136" t="s">
        <v>274</v>
      </c>
      <c r="P321" s="130">
        <v>2213600.19</v>
      </c>
      <c r="Q321" s="130">
        <v>0</v>
      </c>
      <c r="R321" s="130">
        <v>0</v>
      </c>
      <c r="S321" s="130">
        <f t="shared" si="56"/>
        <v>2213600.19</v>
      </c>
      <c r="T321" s="130">
        <f t="shared" si="31"/>
        <v>4213.1712790255042</v>
      </c>
      <c r="U321" s="130">
        <v>9842.6486271412268</v>
      </c>
    </row>
    <row r="322" spans="1:21" s="64" customFormat="1" ht="36" customHeight="1" x14ac:dyDescent="0.9">
      <c r="A322" s="64">
        <v>1</v>
      </c>
      <c r="B322" s="96">
        <f>SUBTOTAL(103,$A$16:A322)</f>
        <v>293</v>
      </c>
      <c r="C322" s="94" t="s">
        <v>1270</v>
      </c>
      <c r="D322" s="138">
        <v>1927</v>
      </c>
      <c r="E322" s="138"/>
      <c r="F322" s="167" t="s">
        <v>273</v>
      </c>
      <c r="G322" s="138">
        <v>2</v>
      </c>
      <c r="H322" s="138">
        <v>2</v>
      </c>
      <c r="I322" s="130">
        <v>462</v>
      </c>
      <c r="J322" s="130">
        <v>443.2</v>
      </c>
      <c r="K322" s="130">
        <v>442.1</v>
      </c>
      <c r="L322" s="139">
        <v>37</v>
      </c>
      <c r="M322" s="138" t="s">
        <v>271</v>
      </c>
      <c r="N322" s="138" t="s">
        <v>275</v>
      </c>
      <c r="O322" s="136" t="s">
        <v>1379</v>
      </c>
      <c r="P322" s="130">
        <v>1981043.05</v>
      </c>
      <c r="Q322" s="130">
        <v>0</v>
      </c>
      <c r="R322" s="130">
        <v>0</v>
      </c>
      <c r="S322" s="130">
        <f t="shared" si="56"/>
        <v>1981043.05</v>
      </c>
      <c r="T322" s="130">
        <f t="shared" si="31"/>
        <v>4287.9719696969696</v>
      </c>
      <c r="U322" s="130">
        <v>5336.2307099567097</v>
      </c>
    </row>
    <row r="323" spans="1:21" s="64" customFormat="1" ht="36" customHeight="1" x14ac:dyDescent="0.9">
      <c r="A323" s="64">
        <v>1</v>
      </c>
      <c r="B323" s="96">
        <f>SUBTOTAL(103,$A$16:A323)</f>
        <v>294</v>
      </c>
      <c r="C323" s="94" t="s">
        <v>1271</v>
      </c>
      <c r="D323" s="138">
        <v>1965</v>
      </c>
      <c r="E323" s="138"/>
      <c r="F323" s="167" t="s">
        <v>273</v>
      </c>
      <c r="G323" s="138">
        <v>2</v>
      </c>
      <c r="H323" s="138">
        <v>2</v>
      </c>
      <c r="I323" s="130">
        <v>1070</v>
      </c>
      <c r="J323" s="130">
        <v>916.2</v>
      </c>
      <c r="K323" s="130">
        <v>310.5</v>
      </c>
      <c r="L323" s="139">
        <v>13</v>
      </c>
      <c r="M323" s="138" t="s">
        <v>271</v>
      </c>
      <c r="N323" s="138" t="s">
        <v>272</v>
      </c>
      <c r="O323" s="136" t="s">
        <v>274</v>
      </c>
      <c r="P323" s="130">
        <v>4741640.8400000008</v>
      </c>
      <c r="Q323" s="130">
        <v>0</v>
      </c>
      <c r="R323" s="130">
        <v>0</v>
      </c>
      <c r="S323" s="130">
        <f t="shared" si="56"/>
        <v>4741640.8400000008</v>
      </c>
      <c r="T323" s="130">
        <f t="shared" si="31"/>
        <v>4431.4400373831786</v>
      </c>
      <c r="U323" s="130">
        <v>5387.2393551401874</v>
      </c>
    </row>
    <row r="324" spans="1:21" s="64" customFormat="1" ht="36" customHeight="1" x14ac:dyDescent="0.9">
      <c r="A324" s="64">
        <v>1</v>
      </c>
      <c r="B324" s="96">
        <f>SUBTOTAL(103,$A$16:A324)</f>
        <v>295</v>
      </c>
      <c r="C324" s="94" t="s">
        <v>1276</v>
      </c>
      <c r="D324" s="138" t="s">
        <v>337</v>
      </c>
      <c r="E324" s="138">
        <v>2016</v>
      </c>
      <c r="F324" s="167" t="s">
        <v>273</v>
      </c>
      <c r="G324" s="138">
        <v>9</v>
      </c>
      <c r="H324" s="138">
        <v>4</v>
      </c>
      <c r="I324" s="130">
        <v>8964.1</v>
      </c>
      <c r="J324" s="130">
        <v>7909.1</v>
      </c>
      <c r="K324" s="130">
        <v>7405.7</v>
      </c>
      <c r="L324" s="139">
        <v>329</v>
      </c>
      <c r="M324" s="138" t="s">
        <v>271</v>
      </c>
      <c r="N324" s="138" t="s">
        <v>275</v>
      </c>
      <c r="O324" s="136" t="s">
        <v>1412</v>
      </c>
      <c r="P324" s="130">
        <v>7625051.5</v>
      </c>
      <c r="Q324" s="130">
        <v>0</v>
      </c>
      <c r="R324" s="130">
        <v>0</v>
      </c>
      <c r="S324" s="130">
        <f t="shared" si="56"/>
        <v>7625051.5</v>
      </c>
      <c r="T324" s="130">
        <f t="shared" si="31"/>
        <v>850.62097700828861</v>
      </c>
      <c r="U324" s="130">
        <v>1003.2476210662531</v>
      </c>
    </row>
    <row r="325" spans="1:21" s="64" customFormat="1" ht="36" customHeight="1" x14ac:dyDescent="0.9">
      <c r="A325" s="64">
        <v>1</v>
      </c>
      <c r="B325" s="96">
        <f>SUBTOTAL(103,$A$16:A325)</f>
        <v>296</v>
      </c>
      <c r="C325" s="94" t="s">
        <v>1277</v>
      </c>
      <c r="D325" s="138" t="s">
        <v>390</v>
      </c>
      <c r="E325" s="138"/>
      <c r="F325" s="167" t="s">
        <v>273</v>
      </c>
      <c r="G325" s="138">
        <v>2</v>
      </c>
      <c r="H325" s="138">
        <v>2</v>
      </c>
      <c r="I325" s="130">
        <v>263</v>
      </c>
      <c r="J325" s="130">
        <v>259.2</v>
      </c>
      <c r="K325" s="130">
        <v>255.1</v>
      </c>
      <c r="L325" s="139">
        <v>21</v>
      </c>
      <c r="M325" s="138" t="s">
        <v>271</v>
      </c>
      <c r="N325" s="138" t="s">
        <v>272</v>
      </c>
      <c r="O325" s="136" t="s">
        <v>274</v>
      </c>
      <c r="P325" s="130">
        <v>964103.66999999993</v>
      </c>
      <c r="Q325" s="130">
        <v>0</v>
      </c>
      <c r="R325" s="130">
        <v>0</v>
      </c>
      <c r="S325" s="130">
        <f t="shared" si="56"/>
        <v>964103.66999999993</v>
      </c>
      <c r="T325" s="130">
        <f t="shared" si="31"/>
        <v>3665.7934220532316</v>
      </c>
      <c r="U325" s="130">
        <v>11346.249743726235</v>
      </c>
    </row>
    <row r="326" spans="1:21" s="64" customFormat="1" ht="36" customHeight="1" x14ac:dyDescent="0.9">
      <c r="A326" s="64">
        <v>1</v>
      </c>
      <c r="B326" s="96">
        <f>SUBTOTAL(103,$A$16:A326)</f>
        <v>297</v>
      </c>
      <c r="C326" s="94" t="s">
        <v>1278</v>
      </c>
      <c r="D326" s="138" t="s">
        <v>364</v>
      </c>
      <c r="E326" s="138"/>
      <c r="F326" s="167" t="s">
        <v>273</v>
      </c>
      <c r="G326" s="138">
        <v>2</v>
      </c>
      <c r="H326" s="138">
        <v>1</v>
      </c>
      <c r="I326" s="130">
        <v>301</v>
      </c>
      <c r="J326" s="130">
        <v>282.39999999999998</v>
      </c>
      <c r="K326" s="130">
        <v>282.39999999999998</v>
      </c>
      <c r="L326" s="139">
        <v>22</v>
      </c>
      <c r="M326" s="138" t="s">
        <v>271</v>
      </c>
      <c r="N326" s="138" t="s">
        <v>275</v>
      </c>
      <c r="O326" s="136" t="s">
        <v>760</v>
      </c>
      <c r="P326" s="130">
        <v>1832686.35</v>
      </c>
      <c r="Q326" s="130">
        <v>0</v>
      </c>
      <c r="R326" s="130">
        <v>0</v>
      </c>
      <c r="S326" s="130">
        <f t="shared" si="56"/>
        <v>1832686.35</v>
      </c>
      <c r="T326" s="130">
        <f t="shared" si="31"/>
        <v>6088.6589700996683</v>
      </c>
      <c r="U326" s="130">
        <v>9329.4721604651168</v>
      </c>
    </row>
    <row r="327" spans="1:21" s="64" customFormat="1" ht="36" customHeight="1" x14ac:dyDescent="0.9">
      <c r="A327" s="64">
        <v>1</v>
      </c>
      <c r="B327" s="96">
        <f>SUBTOTAL(103,$A$16:A327)</f>
        <v>298</v>
      </c>
      <c r="C327" s="94" t="s">
        <v>1279</v>
      </c>
      <c r="D327" s="138">
        <v>1957</v>
      </c>
      <c r="E327" s="138"/>
      <c r="F327" s="167" t="s">
        <v>273</v>
      </c>
      <c r="G327" s="138">
        <v>2</v>
      </c>
      <c r="H327" s="138">
        <v>3</v>
      </c>
      <c r="I327" s="130">
        <v>988</v>
      </c>
      <c r="J327" s="130">
        <v>627.1</v>
      </c>
      <c r="K327" s="130">
        <v>582.1</v>
      </c>
      <c r="L327" s="139">
        <v>55</v>
      </c>
      <c r="M327" s="138" t="s">
        <v>271</v>
      </c>
      <c r="N327" s="138" t="s">
        <v>275</v>
      </c>
      <c r="O327" s="136" t="s">
        <v>1137</v>
      </c>
      <c r="P327" s="130">
        <v>3647789.2499999995</v>
      </c>
      <c r="Q327" s="130">
        <v>0</v>
      </c>
      <c r="R327" s="130">
        <v>0</v>
      </c>
      <c r="S327" s="130">
        <f t="shared" si="56"/>
        <v>3647789.2499999995</v>
      </c>
      <c r="T327" s="130">
        <f t="shared" si="31"/>
        <v>3692.0943825910927</v>
      </c>
      <c r="U327" s="130">
        <v>4438.6403684210518</v>
      </c>
    </row>
    <row r="328" spans="1:21" s="64" customFormat="1" ht="36" customHeight="1" x14ac:dyDescent="0.9">
      <c r="A328" s="64">
        <v>1</v>
      </c>
      <c r="B328" s="96">
        <f>SUBTOTAL(103,$A$16:A328)</f>
        <v>299</v>
      </c>
      <c r="C328" s="94" t="s">
        <v>1637</v>
      </c>
      <c r="D328" s="138">
        <v>1926</v>
      </c>
      <c r="E328" s="138"/>
      <c r="F328" s="167" t="s">
        <v>273</v>
      </c>
      <c r="G328" s="138">
        <v>2</v>
      </c>
      <c r="H328" s="138">
        <v>2</v>
      </c>
      <c r="I328" s="130">
        <v>561</v>
      </c>
      <c r="J328" s="130">
        <v>469.4</v>
      </c>
      <c r="K328" s="130">
        <v>23.8</v>
      </c>
      <c r="L328" s="139">
        <v>11</v>
      </c>
      <c r="M328" s="138" t="s">
        <v>271</v>
      </c>
      <c r="N328" s="138" t="s">
        <v>272</v>
      </c>
      <c r="O328" s="136" t="s">
        <v>274</v>
      </c>
      <c r="P328" s="130">
        <v>1427279.76</v>
      </c>
      <c r="Q328" s="130">
        <v>0</v>
      </c>
      <c r="R328" s="130">
        <v>0</v>
      </c>
      <c r="S328" s="130">
        <f t="shared" ref="S328:S329" si="57">P328-R328-Q328</f>
        <v>1427279.76</v>
      </c>
      <c r="T328" s="130">
        <f t="shared" si="31"/>
        <v>2544.1706951871656</v>
      </c>
      <c r="U328" s="130">
        <v>2967.7712727272724</v>
      </c>
    </row>
    <row r="329" spans="1:21" s="64" customFormat="1" ht="36" customHeight="1" x14ac:dyDescent="0.9">
      <c r="A329" s="64">
        <v>1</v>
      </c>
      <c r="B329" s="96">
        <f>SUBTOTAL(103,$A$16:A329)</f>
        <v>300</v>
      </c>
      <c r="C329" s="94" t="s">
        <v>1647</v>
      </c>
      <c r="D329" s="138" t="s">
        <v>1677</v>
      </c>
      <c r="E329" s="138"/>
      <c r="F329" s="167" t="s">
        <v>273</v>
      </c>
      <c r="G329" s="138">
        <v>2</v>
      </c>
      <c r="H329" s="138">
        <v>2</v>
      </c>
      <c r="I329" s="130">
        <v>334</v>
      </c>
      <c r="J329" s="130">
        <v>169.5</v>
      </c>
      <c r="K329" s="130">
        <v>169.5</v>
      </c>
      <c r="L329" s="139">
        <v>18</v>
      </c>
      <c r="M329" s="138" t="s">
        <v>271</v>
      </c>
      <c r="N329" s="138" t="s">
        <v>272</v>
      </c>
      <c r="O329" s="136" t="s">
        <v>274</v>
      </c>
      <c r="P329" s="130">
        <v>1793843.86</v>
      </c>
      <c r="Q329" s="130">
        <v>0</v>
      </c>
      <c r="R329" s="130">
        <v>0</v>
      </c>
      <c r="S329" s="130">
        <f t="shared" si="57"/>
        <v>1793843.86</v>
      </c>
      <c r="T329" s="130">
        <f t="shared" si="31"/>
        <v>5370.79</v>
      </c>
      <c r="U329" s="130">
        <v>6235.5118862275449</v>
      </c>
    </row>
    <row r="330" spans="1:21" s="64" customFormat="1" ht="36" customHeight="1" x14ac:dyDescent="0.9">
      <c r="B330" s="94" t="s">
        <v>867</v>
      </c>
      <c r="C330" s="126"/>
      <c r="D330" s="138" t="s">
        <v>934</v>
      </c>
      <c r="E330" s="138" t="s">
        <v>934</v>
      </c>
      <c r="F330" s="138" t="s">
        <v>934</v>
      </c>
      <c r="G330" s="138" t="s">
        <v>934</v>
      </c>
      <c r="H330" s="138" t="s">
        <v>934</v>
      </c>
      <c r="I330" s="129">
        <f>SUM(I331:I347)</f>
        <v>13587.6</v>
      </c>
      <c r="J330" s="129">
        <f t="shared" ref="J330:L330" si="58">SUM(J331:J347)</f>
        <v>10418</v>
      </c>
      <c r="K330" s="129">
        <f t="shared" si="58"/>
        <v>8960.3790000000008</v>
      </c>
      <c r="L330" s="139">
        <f t="shared" si="58"/>
        <v>812</v>
      </c>
      <c r="M330" s="138" t="s">
        <v>934</v>
      </c>
      <c r="N330" s="138" t="s">
        <v>934</v>
      </c>
      <c r="O330" s="136" t="s">
        <v>934</v>
      </c>
      <c r="P330" s="129">
        <v>38859598.050000004</v>
      </c>
      <c r="Q330" s="129">
        <f t="shared" ref="Q330:S330" si="59">SUM(Q331:Q347)</f>
        <v>0</v>
      </c>
      <c r="R330" s="129">
        <f t="shared" si="59"/>
        <v>0</v>
      </c>
      <c r="S330" s="129">
        <f t="shared" si="59"/>
        <v>38859598.050000004</v>
      </c>
      <c r="T330" s="130">
        <f t="shared" si="31"/>
        <v>2859.9309701492539</v>
      </c>
      <c r="U330" s="130">
        <f>MAX(U331:U347)</f>
        <v>12960.807892227978</v>
      </c>
    </row>
    <row r="331" spans="1:21" s="64" customFormat="1" ht="36" customHeight="1" x14ac:dyDescent="0.9">
      <c r="A331" s="64">
        <v>1</v>
      </c>
      <c r="B331" s="96">
        <f>SUBTOTAL(103,$A$16:A331)</f>
        <v>301</v>
      </c>
      <c r="C331" s="94" t="s">
        <v>236</v>
      </c>
      <c r="D331" s="138">
        <v>1970</v>
      </c>
      <c r="E331" s="138"/>
      <c r="F331" s="167" t="s">
        <v>273</v>
      </c>
      <c r="G331" s="138">
        <v>2</v>
      </c>
      <c r="H331" s="138">
        <v>1</v>
      </c>
      <c r="I331" s="130">
        <v>404.7</v>
      </c>
      <c r="J331" s="130">
        <v>318.7</v>
      </c>
      <c r="K331" s="130">
        <v>318.7</v>
      </c>
      <c r="L331" s="139">
        <v>25</v>
      </c>
      <c r="M331" s="138" t="s">
        <v>271</v>
      </c>
      <c r="N331" s="138" t="s">
        <v>275</v>
      </c>
      <c r="O331" s="136" t="s">
        <v>341</v>
      </c>
      <c r="P331" s="130">
        <v>1625370</v>
      </c>
      <c r="Q331" s="130">
        <v>0</v>
      </c>
      <c r="R331" s="130">
        <v>0</v>
      </c>
      <c r="S331" s="130">
        <f t="shared" ref="S331:S342" si="60">P331-Q331-R331</f>
        <v>1625370</v>
      </c>
      <c r="T331" s="130">
        <f t="shared" ref="T331:T394" si="61">P331/I331</f>
        <v>4016.2342475908081</v>
      </c>
      <c r="U331" s="130">
        <v>4760.7810773412402</v>
      </c>
    </row>
    <row r="332" spans="1:21" s="64" customFormat="1" ht="36" customHeight="1" x14ac:dyDescent="0.9">
      <c r="A332" s="64">
        <v>1</v>
      </c>
      <c r="B332" s="96">
        <f>SUBTOTAL(103,$A$16:A332)</f>
        <v>302</v>
      </c>
      <c r="C332" s="94" t="s">
        <v>238</v>
      </c>
      <c r="D332" s="138">
        <v>1964</v>
      </c>
      <c r="E332" s="138"/>
      <c r="F332" s="167" t="s">
        <v>273</v>
      </c>
      <c r="G332" s="138">
        <v>2</v>
      </c>
      <c r="H332" s="138">
        <v>2</v>
      </c>
      <c r="I332" s="130">
        <v>604.29999999999995</v>
      </c>
      <c r="J332" s="130">
        <v>596.20000000000005</v>
      </c>
      <c r="K332" s="130">
        <v>596.20000000000005</v>
      </c>
      <c r="L332" s="139">
        <v>25</v>
      </c>
      <c r="M332" s="138" t="s">
        <v>271</v>
      </c>
      <c r="N332" s="138" t="s">
        <v>275</v>
      </c>
      <c r="O332" s="136" t="s">
        <v>342</v>
      </c>
      <c r="P332" s="130">
        <v>2586000</v>
      </c>
      <c r="Q332" s="130">
        <v>0</v>
      </c>
      <c r="R332" s="130">
        <v>0</v>
      </c>
      <c r="S332" s="130">
        <f t="shared" si="60"/>
        <v>2586000</v>
      </c>
      <c r="T332" s="130">
        <f t="shared" si="61"/>
        <v>4279.3314578851569</v>
      </c>
      <c r="U332" s="130">
        <v>5350.327456561311</v>
      </c>
    </row>
    <row r="333" spans="1:21" s="64" customFormat="1" ht="36" customHeight="1" x14ac:dyDescent="0.9">
      <c r="A333" s="64">
        <v>1</v>
      </c>
      <c r="B333" s="96">
        <f>SUBTOTAL(103,$A$16:A333)</f>
        <v>303</v>
      </c>
      <c r="C333" s="94" t="s">
        <v>241</v>
      </c>
      <c r="D333" s="138">
        <v>1961</v>
      </c>
      <c r="E333" s="138"/>
      <c r="F333" s="167" t="s">
        <v>344</v>
      </c>
      <c r="G333" s="138">
        <v>2</v>
      </c>
      <c r="H333" s="138">
        <v>2</v>
      </c>
      <c r="I333" s="130">
        <v>605.1</v>
      </c>
      <c r="J333" s="130">
        <v>560.20000000000005</v>
      </c>
      <c r="K333" s="130">
        <v>521</v>
      </c>
      <c r="L333" s="139">
        <v>28</v>
      </c>
      <c r="M333" s="138" t="s">
        <v>271</v>
      </c>
      <c r="N333" s="138" t="s">
        <v>275</v>
      </c>
      <c r="O333" s="136" t="s">
        <v>341</v>
      </c>
      <c r="P333" s="130">
        <v>2367930</v>
      </c>
      <c r="Q333" s="130">
        <v>0</v>
      </c>
      <c r="R333" s="130">
        <v>0</v>
      </c>
      <c r="S333" s="130">
        <f t="shared" si="60"/>
        <v>2367930</v>
      </c>
      <c r="T333" s="130">
        <f t="shared" si="61"/>
        <v>3913.2870599900843</v>
      </c>
      <c r="U333" s="130">
        <v>4638.7490960171872</v>
      </c>
    </row>
    <row r="334" spans="1:21" s="64" customFormat="1" ht="36" customHeight="1" x14ac:dyDescent="0.9">
      <c r="A334" s="64">
        <v>1</v>
      </c>
      <c r="B334" s="96">
        <f>SUBTOTAL(103,$A$16:A334)</f>
        <v>304</v>
      </c>
      <c r="C334" s="94" t="s">
        <v>242</v>
      </c>
      <c r="D334" s="138">
        <v>1917</v>
      </c>
      <c r="E334" s="138"/>
      <c r="F334" s="167" t="s">
        <v>273</v>
      </c>
      <c r="G334" s="138">
        <v>2</v>
      </c>
      <c r="H334" s="138">
        <v>2</v>
      </c>
      <c r="I334" s="130">
        <v>336.7</v>
      </c>
      <c r="J334" s="130">
        <v>304.3</v>
      </c>
      <c r="K334" s="130">
        <v>304.3</v>
      </c>
      <c r="L334" s="139">
        <v>13</v>
      </c>
      <c r="M334" s="138" t="s">
        <v>271</v>
      </c>
      <c r="N334" s="138" t="s">
        <v>275</v>
      </c>
      <c r="O334" s="136" t="s">
        <v>341</v>
      </c>
      <c r="P334" s="130">
        <v>1382100</v>
      </c>
      <c r="Q334" s="130">
        <v>0</v>
      </c>
      <c r="R334" s="130">
        <v>0</v>
      </c>
      <c r="S334" s="130">
        <f t="shared" si="60"/>
        <v>1382100</v>
      </c>
      <c r="T334" s="130">
        <f t="shared" si="61"/>
        <v>4104.8411048411053</v>
      </c>
      <c r="U334" s="130">
        <v>4865.814256014256</v>
      </c>
    </row>
    <row r="335" spans="1:21" s="64" customFormat="1" ht="36" customHeight="1" x14ac:dyDescent="0.9">
      <c r="A335" s="64">
        <v>1</v>
      </c>
      <c r="B335" s="96">
        <f>SUBTOTAL(103,$A$16:A335)</f>
        <v>305</v>
      </c>
      <c r="C335" s="94" t="s">
        <v>237</v>
      </c>
      <c r="D335" s="101">
        <v>1970</v>
      </c>
      <c r="E335" s="138"/>
      <c r="F335" s="167" t="s">
        <v>273</v>
      </c>
      <c r="G335" s="138">
        <v>2</v>
      </c>
      <c r="H335" s="138">
        <v>1</v>
      </c>
      <c r="I335" s="130">
        <v>352</v>
      </c>
      <c r="J335" s="130">
        <v>321</v>
      </c>
      <c r="K335" s="130">
        <v>321</v>
      </c>
      <c r="L335" s="139">
        <v>20</v>
      </c>
      <c r="M335" s="138" t="s">
        <v>271</v>
      </c>
      <c r="N335" s="138" t="s">
        <v>275</v>
      </c>
      <c r="O335" s="136" t="s">
        <v>343</v>
      </c>
      <c r="P335" s="130">
        <v>1066818</v>
      </c>
      <c r="Q335" s="130">
        <v>0</v>
      </c>
      <c r="R335" s="130">
        <v>0</v>
      </c>
      <c r="S335" s="130">
        <f t="shared" si="60"/>
        <v>1066818</v>
      </c>
      <c r="T335" s="130">
        <f t="shared" si="61"/>
        <v>3030.7329545454545</v>
      </c>
      <c r="U335" s="130">
        <v>3592.5833034090906</v>
      </c>
    </row>
    <row r="336" spans="1:21" s="64" customFormat="1" ht="36" customHeight="1" x14ac:dyDescent="0.9">
      <c r="A336" s="64">
        <v>1</v>
      </c>
      <c r="B336" s="96">
        <f>SUBTOTAL(103,$A$16:A336)</f>
        <v>306</v>
      </c>
      <c r="C336" s="94" t="s">
        <v>244</v>
      </c>
      <c r="D336" s="138">
        <v>1972</v>
      </c>
      <c r="E336" s="138"/>
      <c r="F336" s="167" t="s">
        <v>273</v>
      </c>
      <c r="G336" s="138">
        <v>2</v>
      </c>
      <c r="H336" s="138">
        <v>3</v>
      </c>
      <c r="I336" s="130">
        <v>899</v>
      </c>
      <c r="J336" s="130">
        <v>845</v>
      </c>
      <c r="K336" s="130">
        <v>845</v>
      </c>
      <c r="L336" s="139">
        <v>42</v>
      </c>
      <c r="M336" s="138" t="s">
        <v>271</v>
      </c>
      <c r="N336" s="138" t="s">
        <v>275</v>
      </c>
      <c r="O336" s="136" t="s">
        <v>341</v>
      </c>
      <c r="P336" s="130">
        <v>2750940</v>
      </c>
      <c r="Q336" s="130">
        <v>0</v>
      </c>
      <c r="R336" s="130">
        <v>0</v>
      </c>
      <c r="S336" s="130">
        <f t="shared" si="60"/>
        <v>2750940</v>
      </c>
      <c r="T336" s="130">
        <f t="shared" si="61"/>
        <v>3060</v>
      </c>
      <c r="U336" s="130">
        <v>3627.2759999999998</v>
      </c>
    </row>
    <row r="337" spans="1:21" s="64" customFormat="1" ht="36" customHeight="1" x14ac:dyDescent="0.9">
      <c r="A337" s="64">
        <v>1</v>
      </c>
      <c r="B337" s="96">
        <f>SUBTOTAL(103,$A$16:A337)</f>
        <v>307</v>
      </c>
      <c r="C337" s="94" t="s">
        <v>1282</v>
      </c>
      <c r="D337" s="138">
        <v>1959</v>
      </c>
      <c r="E337" s="138"/>
      <c r="F337" s="167" t="s">
        <v>344</v>
      </c>
      <c r="G337" s="138">
        <v>2</v>
      </c>
      <c r="H337" s="138">
        <v>2</v>
      </c>
      <c r="I337" s="130">
        <v>654.4</v>
      </c>
      <c r="J337" s="130">
        <v>551.4</v>
      </c>
      <c r="K337" s="130">
        <v>551.4</v>
      </c>
      <c r="L337" s="139">
        <v>22</v>
      </c>
      <c r="M337" s="138" t="s">
        <v>271</v>
      </c>
      <c r="N337" s="138" t="s">
        <v>275</v>
      </c>
      <c r="O337" s="136" t="s">
        <v>342</v>
      </c>
      <c r="P337" s="130">
        <v>2857556.7199999997</v>
      </c>
      <c r="Q337" s="130">
        <v>0</v>
      </c>
      <c r="R337" s="130">
        <v>0</v>
      </c>
      <c r="S337" s="130">
        <f t="shared" si="60"/>
        <v>2857556.7199999997</v>
      </c>
      <c r="T337" s="130">
        <f t="shared" si="61"/>
        <v>4366.6820293398532</v>
      </c>
      <c r="U337" s="130">
        <v>7441.8260620415658</v>
      </c>
    </row>
    <row r="338" spans="1:21" s="64" customFormat="1" ht="36" customHeight="1" x14ac:dyDescent="0.9">
      <c r="A338" s="64">
        <v>1</v>
      </c>
      <c r="B338" s="96">
        <f>SUBTOTAL(103,$A$16:A338)</f>
        <v>308</v>
      </c>
      <c r="C338" s="94" t="s">
        <v>1283</v>
      </c>
      <c r="D338" s="138">
        <v>1977</v>
      </c>
      <c r="E338" s="138"/>
      <c r="F338" s="167" t="s">
        <v>273</v>
      </c>
      <c r="G338" s="138">
        <v>5</v>
      </c>
      <c r="H338" s="138">
        <v>1</v>
      </c>
      <c r="I338" s="130">
        <v>3819</v>
      </c>
      <c r="J338" s="130">
        <v>1968.3</v>
      </c>
      <c r="K338" s="130">
        <v>764.2</v>
      </c>
      <c r="L338" s="139">
        <v>379</v>
      </c>
      <c r="M338" s="138" t="s">
        <v>271</v>
      </c>
      <c r="N338" s="138" t="s">
        <v>275</v>
      </c>
      <c r="O338" s="136" t="s">
        <v>1383</v>
      </c>
      <c r="P338" s="130">
        <v>3331286.34</v>
      </c>
      <c r="Q338" s="130">
        <v>0</v>
      </c>
      <c r="R338" s="130">
        <v>0</v>
      </c>
      <c r="S338" s="130">
        <f t="shared" si="60"/>
        <v>3331286.34</v>
      </c>
      <c r="T338" s="130">
        <f t="shared" si="61"/>
        <v>872.29283582089545</v>
      </c>
      <c r="U338" s="130">
        <v>944.3599999999999</v>
      </c>
    </row>
    <row r="339" spans="1:21" s="64" customFormat="1" ht="36" customHeight="1" x14ac:dyDescent="0.9">
      <c r="A339" s="64">
        <v>1</v>
      </c>
      <c r="B339" s="96">
        <f>SUBTOTAL(103,$A$16:A339)</f>
        <v>309</v>
      </c>
      <c r="C339" s="94" t="s">
        <v>1284</v>
      </c>
      <c r="D339" s="138">
        <v>1951</v>
      </c>
      <c r="E339" s="138"/>
      <c r="F339" s="167" t="s">
        <v>344</v>
      </c>
      <c r="G339" s="138">
        <v>2</v>
      </c>
      <c r="H339" s="138">
        <v>2</v>
      </c>
      <c r="I339" s="130">
        <v>859.4</v>
      </c>
      <c r="J339" s="130">
        <v>766.5</v>
      </c>
      <c r="K339" s="130">
        <v>697.3</v>
      </c>
      <c r="L339" s="139">
        <v>43</v>
      </c>
      <c r="M339" s="138" t="s">
        <v>271</v>
      </c>
      <c r="N339" s="138" t="s">
        <v>275</v>
      </c>
      <c r="O339" s="136" t="s">
        <v>341</v>
      </c>
      <c r="P339" s="130">
        <v>3691588.77</v>
      </c>
      <c r="Q339" s="130">
        <v>0</v>
      </c>
      <c r="R339" s="130">
        <v>0</v>
      </c>
      <c r="S339" s="130">
        <f t="shared" si="60"/>
        <v>3691588.77</v>
      </c>
      <c r="T339" s="130">
        <f t="shared" si="61"/>
        <v>4295.5419711426575</v>
      </c>
      <c r="U339" s="130">
        <v>6410.3142388875967</v>
      </c>
    </row>
    <row r="340" spans="1:21" s="64" customFormat="1" ht="36" customHeight="1" x14ac:dyDescent="0.9">
      <c r="A340" s="64">
        <v>1</v>
      </c>
      <c r="B340" s="96">
        <f>SUBTOTAL(103,$A$16:A340)</f>
        <v>310</v>
      </c>
      <c r="C340" s="94" t="s">
        <v>1285</v>
      </c>
      <c r="D340" s="138">
        <v>1955</v>
      </c>
      <c r="E340" s="138"/>
      <c r="F340" s="167" t="s">
        <v>1384</v>
      </c>
      <c r="G340" s="138">
        <v>2</v>
      </c>
      <c r="H340" s="138">
        <v>2</v>
      </c>
      <c r="I340" s="130">
        <v>805.7</v>
      </c>
      <c r="J340" s="130">
        <v>731</v>
      </c>
      <c r="K340" s="130">
        <v>705.2</v>
      </c>
      <c r="L340" s="139">
        <v>37</v>
      </c>
      <c r="M340" s="138" t="s">
        <v>271</v>
      </c>
      <c r="N340" s="138" t="s">
        <v>275</v>
      </c>
      <c r="O340" s="136" t="s">
        <v>341</v>
      </c>
      <c r="P340" s="130">
        <v>2051042.41</v>
      </c>
      <c r="Q340" s="130">
        <v>0</v>
      </c>
      <c r="R340" s="130">
        <v>0</v>
      </c>
      <c r="S340" s="130">
        <f t="shared" si="60"/>
        <v>2051042.41</v>
      </c>
      <c r="T340" s="130">
        <f t="shared" si="61"/>
        <v>2545.6651483182322</v>
      </c>
      <c r="U340" s="130">
        <v>7120.0186003475246</v>
      </c>
    </row>
    <row r="341" spans="1:21" s="64" customFormat="1" ht="36" customHeight="1" x14ac:dyDescent="0.9">
      <c r="A341" s="64">
        <v>1</v>
      </c>
      <c r="B341" s="96">
        <f>SUBTOTAL(103,$A$16:A341)</f>
        <v>311</v>
      </c>
      <c r="C341" s="94" t="s">
        <v>1286</v>
      </c>
      <c r="D341" s="138">
        <v>1958</v>
      </c>
      <c r="E341" s="138"/>
      <c r="F341" s="167" t="s">
        <v>273</v>
      </c>
      <c r="G341" s="138">
        <v>2</v>
      </c>
      <c r="H341" s="138">
        <v>2</v>
      </c>
      <c r="I341" s="130">
        <v>482.5</v>
      </c>
      <c r="J341" s="130">
        <v>431.7</v>
      </c>
      <c r="K341" s="130">
        <v>367.4</v>
      </c>
      <c r="L341" s="139">
        <v>27</v>
      </c>
      <c r="M341" s="138" t="s">
        <v>271</v>
      </c>
      <c r="N341" s="138" t="s">
        <v>275</v>
      </c>
      <c r="O341" s="136" t="s">
        <v>341</v>
      </c>
      <c r="P341" s="130">
        <v>1945887.7</v>
      </c>
      <c r="Q341" s="130">
        <v>0</v>
      </c>
      <c r="R341" s="130">
        <v>0</v>
      </c>
      <c r="S341" s="130">
        <f t="shared" si="60"/>
        <v>1945887.7</v>
      </c>
      <c r="T341" s="130">
        <f t="shared" si="61"/>
        <v>4032.9278756476683</v>
      </c>
      <c r="U341" s="130">
        <v>12960.807892227978</v>
      </c>
    </row>
    <row r="342" spans="1:21" s="64" customFormat="1" ht="36" customHeight="1" x14ac:dyDescent="0.9">
      <c r="A342" s="64">
        <v>1</v>
      </c>
      <c r="B342" s="96">
        <f>SUBTOTAL(103,$A$16:A342)</f>
        <v>312</v>
      </c>
      <c r="C342" s="94" t="s">
        <v>1287</v>
      </c>
      <c r="D342" s="138">
        <v>1917</v>
      </c>
      <c r="E342" s="138"/>
      <c r="F342" s="167" t="s">
        <v>273</v>
      </c>
      <c r="G342" s="138">
        <v>2</v>
      </c>
      <c r="H342" s="138">
        <v>2</v>
      </c>
      <c r="I342" s="130">
        <v>333.7</v>
      </c>
      <c r="J342" s="130">
        <v>264.8</v>
      </c>
      <c r="K342" s="130">
        <v>264.79899999999998</v>
      </c>
      <c r="L342" s="139">
        <v>10</v>
      </c>
      <c r="M342" s="138" t="s">
        <v>271</v>
      </c>
      <c r="N342" s="138" t="s">
        <v>275</v>
      </c>
      <c r="O342" s="136" t="s">
        <v>341</v>
      </c>
      <c r="P342" s="130">
        <v>2037741.92</v>
      </c>
      <c r="Q342" s="130">
        <v>0</v>
      </c>
      <c r="R342" s="130">
        <v>0</v>
      </c>
      <c r="S342" s="130">
        <f t="shared" si="60"/>
        <v>2037741.92</v>
      </c>
      <c r="T342" s="130">
        <f t="shared" si="61"/>
        <v>6106.5086005394069</v>
      </c>
      <c r="U342" s="130">
        <v>6780.9879472580169</v>
      </c>
    </row>
    <row r="343" spans="1:21" s="64" customFormat="1" ht="36" customHeight="1" x14ac:dyDescent="0.9">
      <c r="A343" s="64">
        <v>1</v>
      </c>
      <c r="B343" s="96">
        <f>SUBTOTAL(103,$A$16:A343)</f>
        <v>313</v>
      </c>
      <c r="C343" s="94" t="s">
        <v>1630</v>
      </c>
      <c r="D343" s="138">
        <v>1967</v>
      </c>
      <c r="E343" s="138"/>
      <c r="F343" s="167" t="s">
        <v>273</v>
      </c>
      <c r="G343" s="138">
        <v>2</v>
      </c>
      <c r="H343" s="138">
        <v>1</v>
      </c>
      <c r="I343" s="130">
        <v>391.7</v>
      </c>
      <c r="J343" s="130">
        <v>362.7</v>
      </c>
      <c r="K343" s="130">
        <v>362.7</v>
      </c>
      <c r="L343" s="139">
        <v>15</v>
      </c>
      <c r="M343" s="138" t="s">
        <v>271</v>
      </c>
      <c r="N343" s="138" t="s">
        <v>275</v>
      </c>
      <c r="O343" s="136" t="s">
        <v>342</v>
      </c>
      <c r="P343" s="130">
        <v>1410291.19</v>
      </c>
      <c r="Q343" s="130">
        <v>0</v>
      </c>
      <c r="R343" s="130">
        <v>0</v>
      </c>
      <c r="S343" s="130">
        <f t="shared" ref="S343:S347" si="62">P343-R343-Q343</f>
        <v>1410291.19</v>
      </c>
      <c r="T343" s="130">
        <f t="shared" si="61"/>
        <v>3600.4370436558588</v>
      </c>
      <c r="U343" s="130">
        <v>5079.2976410518258</v>
      </c>
    </row>
    <row r="344" spans="1:21" s="64" customFormat="1" ht="36" customHeight="1" x14ac:dyDescent="0.9">
      <c r="A344" s="64">
        <v>1</v>
      </c>
      <c r="B344" s="96">
        <f>SUBTOTAL(103,$A$16:A344)</f>
        <v>314</v>
      </c>
      <c r="C344" s="94" t="s">
        <v>1631</v>
      </c>
      <c r="D344" s="138">
        <v>1969</v>
      </c>
      <c r="E344" s="138"/>
      <c r="F344" s="167" t="s">
        <v>273</v>
      </c>
      <c r="G344" s="138">
        <v>2</v>
      </c>
      <c r="H344" s="138">
        <v>2</v>
      </c>
      <c r="I344" s="130">
        <v>705.3</v>
      </c>
      <c r="J344" s="130">
        <v>681.2</v>
      </c>
      <c r="K344" s="130">
        <v>626.79999999999995</v>
      </c>
      <c r="L344" s="139">
        <v>32</v>
      </c>
      <c r="M344" s="138" t="s">
        <v>271</v>
      </c>
      <c r="N344" s="138" t="s">
        <v>275</v>
      </c>
      <c r="O344" s="136" t="s">
        <v>341</v>
      </c>
      <c r="P344" s="130">
        <v>2672335.8200000003</v>
      </c>
      <c r="Q344" s="130">
        <v>0</v>
      </c>
      <c r="R344" s="130">
        <v>0</v>
      </c>
      <c r="S344" s="130">
        <f t="shared" si="62"/>
        <v>2672335.8200000003</v>
      </c>
      <c r="T344" s="130">
        <f t="shared" si="61"/>
        <v>3788.9349496668092</v>
      </c>
      <c r="U344" s="130">
        <v>5237.1700836523469</v>
      </c>
    </row>
    <row r="345" spans="1:21" s="64" customFormat="1" ht="36" customHeight="1" x14ac:dyDescent="0.9">
      <c r="A345" s="64">
        <v>1</v>
      </c>
      <c r="B345" s="96">
        <f>SUBTOTAL(103,$A$16:A345)</f>
        <v>315</v>
      </c>
      <c r="C345" s="94" t="s">
        <v>1645</v>
      </c>
      <c r="D345" s="138">
        <v>1949</v>
      </c>
      <c r="E345" s="138"/>
      <c r="F345" s="167" t="s">
        <v>1384</v>
      </c>
      <c r="G345" s="138">
        <v>2</v>
      </c>
      <c r="H345" s="138">
        <v>2</v>
      </c>
      <c r="I345" s="130">
        <v>920.8</v>
      </c>
      <c r="J345" s="130">
        <v>760.8</v>
      </c>
      <c r="K345" s="130">
        <v>760.18</v>
      </c>
      <c r="L345" s="139">
        <v>42</v>
      </c>
      <c r="M345" s="138" t="s">
        <v>271</v>
      </c>
      <c r="N345" s="138" t="s">
        <v>275</v>
      </c>
      <c r="O345" s="136" t="s">
        <v>342</v>
      </c>
      <c r="P345" s="130">
        <v>2869689.63</v>
      </c>
      <c r="Q345" s="130">
        <v>0</v>
      </c>
      <c r="R345" s="130">
        <v>0</v>
      </c>
      <c r="S345" s="130">
        <f t="shared" si="62"/>
        <v>2869689.63</v>
      </c>
      <c r="T345" s="130">
        <f t="shared" si="61"/>
        <v>3116.5178431798436</v>
      </c>
      <c r="U345" s="130">
        <v>3978.6585143353609</v>
      </c>
    </row>
    <row r="346" spans="1:21" s="64" customFormat="1" ht="36" customHeight="1" x14ac:dyDescent="0.9">
      <c r="A346" s="64">
        <v>1</v>
      </c>
      <c r="B346" s="96">
        <f>SUBTOTAL(103,$A$16:A346)</f>
        <v>316</v>
      </c>
      <c r="C346" s="94" t="s">
        <v>1646</v>
      </c>
      <c r="D346" s="138">
        <v>1961</v>
      </c>
      <c r="E346" s="138"/>
      <c r="F346" s="167" t="s">
        <v>273</v>
      </c>
      <c r="G346" s="138">
        <v>2</v>
      </c>
      <c r="H346" s="138">
        <v>2</v>
      </c>
      <c r="I346" s="130">
        <v>755.3</v>
      </c>
      <c r="J346" s="130">
        <v>704.1</v>
      </c>
      <c r="K346" s="130">
        <v>704.1</v>
      </c>
      <c r="L346" s="139">
        <v>31</v>
      </c>
      <c r="M346" s="138" t="s">
        <v>271</v>
      </c>
      <c r="N346" s="138" t="s">
        <v>275</v>
      </c>
      <c r="O346" s="136" t="s">
        <v>341</v>
      </c>
      <c r="P346" s="130">
        <v>2697246.34</v>
      </c>
      <c r="Q346" s="130">
        <v>0</v>
      </c>
      <c r="R346" s="130">
        <v>0</v>
      </c>
      <c r="S346" s="130">
        <f t="shared" si="62"/>
        <v>2697246.34</v>
      </c>
      <c r="T346" s="130">
        <f t="shared" si="61"/>
        <v>3571.0927313650204</v>
      </c>
      <c r="U346" s="130">
        <v>4782.4206937640674</v>
      </c>
    </row>
    <row r="347" spans="1:21" s="64" customFormat="1" ht="36" customHeight="1" x14ac:dyDescent="0.9">
      <c r="A347" s="64">
        <v>1</v>
      </c>
      <c r="B347" s="96">
        <f>SUBTOTAL(103,$A$16:A347)</f>
        <v>317</v>
      </c>
      <c r="C347" s="94" t="s">
        <v>1683</v>
      </c>
      <c r="D347" s="138">
        <v>1958</v>
      </c>
      <c r="E347" s="138"/>
      <c r="F347" s="167" t="s">
        <v>338</v>
      </c>
      <c r="G347" s="138">
        <v>2</v>
      </c>
      <c r="H347" s="138">
        <v>1</v>
      </c>
      <c r="I347" s="130">
        <v>658</v>
      </c>
      <c r="J347" s="130">
        <v>250.1</v>
      </c>
      <c r="K347" s="130">
        <v>250.1</v>
      </c>
      <c r="L347" s="139">
        <v>21</v>
      </c>
      <c r="M347" s="138" t="s">
        <v>271</v>
      </c>
      <c r="N347" s="138" t="s">
        <v>275</v>
      </c>
      <c r="O347" s="136" t="s">
        <v>341</v>
      </c>
      <c r="P347" s="130">
        <v>1515773.2100000002</v>
      </c>
      <c r="Q347" s="130">
        <v>0</v>
      </c>
      <c r="R347" s="130">
        <v>0</v>
      </c>
      <c r="S347" s="130">
        <f t="shared" si="62"/>
        <v>1515773.2100000002</v>
      </c>
      <c r="T347" s="130">
        <f t="shared" si="61"/>
        <v>2303.6067021276599</v>
      </c>
      <c r="U347" s="130">
        <v>4128.2358829787227</v>
      </c>
    </row>
    <row r="348" spans="1:21" s="64" customFormat="1" ht="36" customHeight="1" x14ac:dyDescent="0.9">
      <c r="B348" s="94" t="s">
        <v>868</v>
      </c>
      <c r="C348" s="94"/>
      <c r="D348" s="138" t="s">
        <v>934</v>
      </c>
      <c r="E348" s="138" t="s">
        <v>934</v>
      </c>
      <c r="F348" s="138" t="s">
        <v>934</v>
      </c>
      <c r="G348" s="138" t="s">
        <v>934</v>
      </c>
      <c r="H348" s="138" t="s">
        <v>934</v>
      </c>
      <c r="I348" s="129">
        <f>SUM(I349:I354)</f>
        <v>2214.1</v>
      </c>
      <c r="J348" s="129">
        <f t="shared" ref="J348:L348" si="63">SUM(J349:J354)</f>
        <v>1957.3</v>
      </c>
      <c r="K348" s="129">
        <f t="shared" si="63"/>
        <v>1343.8999999999999</v>
      </c>
      <c r="L348" s="139">
        <f t="shared" si="63"/>
        <v>77</v>
      </c>
      <c r="M348" s="138" t="s">
        <v>934</v>
      </c>
      <c r="N348" s="138" t="s">
        <v>934</v>
      </c>
      <c r="O348" s="136" t="s">
        <v>934</v>
      </c>
      <c r="P348" s="129">
        <v>4925031.5999999996</v>
      </c>
      <c r="Q348" s="129">
        <f t="shared" ref="Q348:S348" si="64">SUM(Q349:Q354)</f>
        <v>0</v>
      </c>
      <c r="R348" s="129">
        <f t="shared" si="64"/>
        <v>0</v>
      </c>
      <c r="S348" s="129">
        <f t="shared" si="64"/>
        <v>4925031.5999999996</v>
      </c>
      <c r="T348" s="130">
        <f t="shared" si="61"/>
        <v>2224.3943814642516</v>
      </c>
      <c r="U348" s="130">
        <f>MAX(U349:U354)</f>
        <v>9214.674517766498</v>
      </c>
    </row>
    <row r="349" spans="1:21" s="64" customFormat="1" ht="36" customHeight="1" x14ac:dyDescent="0.9">
      <c r="A349" s="64">
        <v>1</v>
      </c>
      <c r="B349" s="96">
        <f>SUBTOTAL(103,$A$16:A349)</f>
        <v>318</v>
      </c>
      <c r="C349" s="94" t="s">
        <v>251</v>
      </c>
      <c r="D349" s="138">
        <v>1955</v>
      </c>
      <c r="E349" s="138"/>
      <c r="F349" s="167" t="s">
        <v>338</v>
      </c>
      <c r="G349" s="138">
        <v>2</v>
      </c>
      <c r="H349" s="138">
        <v>1</v>
      </c>
      <c r="I349" s="130">
        <v>374.6</v>
      </c>
      <c r="J349" s="130">
        <v>343.4</v>
      </c>
      <c r="K349" s="130">
        <v>211.5</v>
      </c>
      <c r="L349" s="139">
        <v>7</v>
      </c>
      <c r="M349" s="138" t="s">
        <v>271</v>
      </c>
      <c r="N349" s="138" t="s">
        <v>272</v>
      </c>
      <c r="O349" s="136" t="s">
        <v>274</v>
      </c>
      <c r="P349" s="130">
        <v>286559.45999999996</v>
      </c>
      <c r="Q349" s="130">
        <v>0</v>
      </c>
      <c r="R349" s="130">
        <v>0</v>
      </c>
      <c r="S349" s="130">
        <f t="shared" ref="S349:S352" si="65">P349-Q349-R349</f>
        <v>286559.45999999996</v>
      </c>
      <c r="T349" s="130">
        <f t="shared" si="61"/>
        <v>764.97453283502387</v>
      </c>
      <c r="U349" s="130">
        <v>764.97453283502387</v>
      </c>
    </row>
    <row r="350" spans="1:21" s="64" customFormat="1" ht="36" customHeight="1" x14ac:dyDescent="0.9">
      <c r="A350" s="64">
        <v>1</v>
      </c>
      <c r="B350" s="96">
        <f>SUBTOTAL(103,$A$16:A350)</f>
        <v>319</v>
      </c>
      <c r="C350" s="94" t="s">
        <v>252</v>
      </c>
      <c r="D350" s="138">
        <v>1954</v>
      </c>
      <c r="E350" s="138"/>
      <c r="F350" s="167" t="s">
        <v>273</v>
      </c>
      <c r="G350" s="138">
        <v>2</v>
      </c>
      <c r="H350" s="138">
        <v>1</v>
      </c>
      <c r="I350" s="130">
        <v>373.6</v>
      </c>
      <c r="J350" s="130">
        <v>342.5</v>
      </c>
      <c r="K350" s="130">
        <v>160.1</v>
      </c>
      <c r="L350" s="139">
        <v>12</v>
      </c>
      <c r="M350" s="138" t="s">
        <v>271</v>
      </c>
      <c r="N350" s="138" t="s">
        <v>272</v>
      </c>
      <c r="O350" s="136" t="s">
        <v>274</v>
      </c>
      <c r="P350" s="130">
        <v>286194.91000000003</v>
      </c>
      <c r="Q350" s="130">
        <v>0</v>
      </c>
      <c r="R350" s="130">
        <v>0</v>
      </c>
      <c r="S350" s="130">
        <f t="shared" si="65"/>
        <v>286194.91000000003</v>
      </c>
      <c r="T350" s="130">
        <f t="shared" si="61"/>
        <v>766.04633297644546</v>
      </c>
      <c r="U350" s="130">
        <v>766.04633297644546</v>
      </c>
    </row>
    <row r="351" spans="1:21" s="64" customFormat="1" ht="36" customHeight="1" x14ac:dyDescent="0.9">
      <c r="A351" s="64">
        <v>1</v>
      </c>
      <c r="B351" s="96">
        <f>SUBTOTAL(103,$A$16:A351)</f>
        <v>320</v>
      </c>
      <c r="C351" s="94" t="s">
        <v>1290</v>
      </c>
      <c r="D351" s="138">
        <v>1968</v>
      </c>
      <c r="E351" s="138"/>
      <c r="F351" s="167" t="s">
        <v>273</v>
      </c>
      <c r="G351" s="138">
        <v>2</v>
      </c>
      <c r="H351" s="138">
        <v>1</v>
      </c>
      <c r="I351" s="130">
        <v>334.9</v>
      </c>
      <c r="J351" s="130">
        <v>302.2</v>
      </c>
      <c r="K351" s="130">
        <v>302.2</v>
      </c>
      <c r="L351" s="139">
        <v>16</v>
      </c>
      <c r="M351" s="138" t="s">
        <v>271</v>
      </c>
      <c r="N351" s="138" t="s">
        <v>272</v>
      </c>
      <c r="O351" s="136" t="s">
        <v>274</v>
      </c>
      <c r="P351" s="130">
        <v>401427.02999999997</v>
      </c>
      <c r="Q351" s="130">
        <v>0</v>
      </c>
      <c r="R351" s="130">
        <v>0</v>
      </c>
      <c r="S351" s="130">
        <f t="shared" si="65"/>
        <v>401427.02999999997</v>
      </c>
      <c r="T351" s="130">
        <f t="shared" si="61"/>
        <v>1198.6474469991042</v>
      </c>
      <c r="U351" s="130">
        <v>9214.674517766498</v>
      </c>
    </row>
    <row r="352" spans="1:21" s="64" customFormat="1" ht="36" customHeight="1" x14ac:dyDescent="0.9">
      <c r="A352" s="64">
        <v>1</v>
      </c>
      <c r="B352" s="96">
        <f>SUBTOTAL(103,$A$16:A352)</f>
        <v>321</v>
      </c>
      <c r="C352" s="94" t="s">
        <v>249</v>
      </c>
      <c r="D352" s="138">
        <v>1969</v>
      </c>
      <c r="E352" s="138"/>
      <c r="F352" s="167" t="s">
        <v>273</v>
      </c>
      <c r="G352" s="138">
        <v>2</v>
      </c>
      <c r="H352" s="138">
        <v>1</v>
      </c>
      <c r="I352" s="130">
        <v>384.6</v>
      </c>
      <c r="J352" s="130">
        <v>359.9</v>
      </c>
      <c r="K352" s="130">
        <v>359.9</v>
      </c>
      <c r="L352" s="139">
        <v>16</v>
      </c>
      <c r="M352" s="138" t="s">
        <v>271</v>
      </c>
      <c r="N352" s="138" t="s">
        <v>272</v>
      </c>
      <c r="O352" s="136" t="s">
        <v>274</v>
      </c>
      <c r="P352" s="130">
        <v>1510014</v>
      </c>
      <c r="Q352" s="130">
        <v>0</v>
      </c>
      <c r="R352" s="130">
        <v>0</v>
      </c>
      <c r="S352" s="130">
        <f t="shared" si="65"/>
        <v>1510014</v>
      </c>
      <c r="T352" s="130">
        <f t="shared" si="61"/>
        <v>3926.1934477379091</v>
      </c>
      <c r="U352" s="130">
        <v>6898.3983853354139</v>
      </c>
    </row>
    <row r="353" spans="1:21" s="64" customFormat="1" ht="36" customHeight="1" x14ac:dyDescent="0.9">
      <c r="A353" s="64">
        <v>1</v>
      </c>
      <c r="B353" s="96">
        <f>SUBTOTAL(103,$A$16:A353)</f>
        <v>322</v>
      </c>
      <c r="C353" s="94" t="s">
        <v>1632</v>
      </c>
      <c r="D353" s="138">
        <v>1960</v>
      </c>
      <c r="E353" s="138"/>
      <c r="F353" s="167" t="s">
        <v>273</v>
      </c>
      <c r="G353" s="138">
        <v>2</v>
      </c>
      <c r="H353" s="138">
        <v>1</v>
      </c>
      <c r="I353" s="130">
        <v>407.9</v>
      </c>
      <c r="J353" s="130">
        <v>299.10000000000002</v>
      </c>
      <c r="K353" s="130">
        <v>0</v>
      </c>
      <c r="L353" s="139">
        <v>9</v>
      </c>
      <c r="M353" s="138" t="s">
        <v>271</v>
      </c>
      <c r="N353" s="138" t="s">
        <v>272</v>
      </c>
      <c r="O353" s="136" t="s">
        <v>274</v>
      </c>
      <c r="P353" s="130">
        <v>994570.83</v>
      </c>
      <c r="Q353" s="130">
        <v>0</v>
      </c>
      <c r="R353" s="130">
        <v>0</v>
      </c>
      <c r="S353" s="130">
        <f t="shared" ref="S353:S354" si="66">P353-R353-Q353</f>
        <v>994570.83</v>
      </c>
      <c r="T353" s="130">
        <f t="shared" si="61"/>
        <v>2438.2712184358911</v>
      </c>
      <c r="U353" s="130">
        <v>3690.4131895072323</v>
      </c>
    </row>
    <row r="354" spans="1:21" s="64" customFormat="1" ht="36" customHeight="1" x14ac:dyDescent="0.9">
      <c r="A354" s="64">
        <v>1</v>
      </c>
      <c r="B354" s="96">
        <f>SUBTOTAL(103,$A$16:A354)</f>
        <v>323</v>
      </c>
      <c r="C354" s="94" t="s">
        <v>1633</v>
      </c>
      <c r="D354" s="138">
        <v>1962</v>
      </c>
      <c r="E354" s="138"/>
      <c r="F354" s="167" t="s">
        <v>273</v>
      </c>
      <c r="G354" s="138">
        <v>2</v>
      </c>
      <c r="H354" s="138">
        <v>2</v>
      </c>
      <c r="I354" s="130">
        <v>338.5</v>
      </c>
      <c r="J354" s="130">
        <v>310.2</v>
      </c>
      <c r="K354" s="130">
        <v>310.2</v>
      </c>
      <c r="L354" s="139">
        <v>17</v>
      </c>
      <c r="M354" s="138" t="s">
        <v>271</v>
      </c>
      <c r="N354" s="138" t="s">
        <v>349</v>
      </c>
      <c r="O354" s="136" t="s">
        <v>1678</v>
      </c>
      <c r="P354" s="130">
        <v>1446265.3699999999</v>
      </c>
      <c r="Q354" s="130">
        <v>0</v>
      </c>
      <c r="R354" s="130">
        <v>0</v>
      </c>
      <c r="S354" s="130">
        <f t="shared" si="66"/>
        <v>1446265.3699999999</v>
      </c>
      <c r="T354" s="130">
        <f t="shared" si="61"/>
        <v>4272.5712555391428</v>
      </c>
      <c r="U354" s="130">
        <v>5518.6030723781387</v>
      </c>
    </row>
    <row r="355" spans="1:21" s="64" customFormat="1" ht="36" customHeight="1" x14ac:dyDescent="0.9">
      <c r="B355" s="94" t="s">
        <v>869</v>
      </c>
      <c r="C355" s="94"/>
      <c r="D355" s="138" t="s">
        <v>934</v>
      </c>
      <c r="E355" s="138" t="s">
        <v>934</v>
      </c>
      <c r="F355" s="138" t="s">
        <v>934</v>
      </c>
      <c r="G355" s="138" t="s">
        <v>934</v>
      </c>
      <c r="H355" s="138" t="s">
        <v>934</v>
      </c>
      <c r="I355" s="129">
        <f>SUM(I356:I358)</f>
        <v>2026.2</v>
      </c>
      <c r="J355" s="129">
        <f t="shared" ref="J355:L355" si="67">SUM(J356:J358)</f>
        <v>1548.5</v>
      </c>
      <c r="K355" s="129">
        <f t="shared" si="67"/>
        <v>1408.9</v>
      </c>
      <c r="L355" s="139">
        <f t="shared" si="67"/>
        <v>65</v>
      </c>
      <c r="M355" s="138" t="s">
        <v>934</v>
      </c>
      <c r="N355" s="138" t="s">
        <v>934</v>
      </c>
      <c r="O355" s="136" t="s">
        <v>934</v>
      </c>
      <c r="P355" s="130">
        <v>5532352.54</v>
      </c>
      <c r="Q355" s="130">
        <f t="shared" ref="Q355:S355" si="68">SUM(Q356:Q358)</f>
        <v>0</v>
      </c>
      <c r="R355" s="130">
        <f t="shared" si="68"/>
        <v>0</v>
      </c>
      <c r="S355" s="130">
        <f t="shared" si="68"/>
        <v>5532352.54</v>
      </c>
      <c r="T355" s="130">
        <f t="shared" si="61"/>
        <v>2730.4079261672096</v>
      </c>
      <c r="U355" s="130">
        <f>MAX(U356:U358)</f>
        <v>7751.5476857283311</v>
      </c>
    </row>
    <row r="356" spans="1:21" s="64" customFormat="1" ht="36" customHeight="1" x14ac:dyDescent="0.9">
      <c r="A356" s="64">
        <v>1</v>
      </c>
      <c r="B356" s="96">
        <f>SUBTOTAL(103,$A$16:A356)</f>
        <v>324</v>
      </c>
      <c r="C356" s="94" t="s">
        <v>246</v>
      </c>
      <c r="D356" s="138">
        <v>1969</v>
      </c>
      <c r="E356" s="138"/>
      <c r="F356" s="167" t="s">
        <v>319</v>
      </c>
      <c r="G356" s="138">
        <v>2</v>
      </c>
      <c r="H356" s="138">
        <v>2</v>
      </c>
      <c r="I356" s="130">
        <v>924.7</v>
      </c>
      <c r="J356" s="130">
        <v>556</v>
      </c>
      <c r="K356" s="130">
        <v>474.7</v>
      </c>
      <c r="L356" s="139">
        <v>25</v>
      </c>
      <c r="M356" s="138" t="s">
        <v>271</v>
      </c>
      <c r="N356" s="138" t="s">
        <v>272</v>
      </c>
      <c r="O356" s="136" t="s">
        <v>274</v>
      </c>
      <c r="P356" s="130">
        <v>1765119.99</v>
      </c>
      <c r="Q356" s="130">
        <v>0</v>
      </c>
      <c r="R356" s="130">
        <v>0</v>
      </c>
      <c r="S356" s="130">
        <f t="shared" ref="S356:S358" si="69">P356-Q356-R356</f>
        <v>1765119.99</v>
      </c>
      <c r="T356" s="130">
        <f t="shared" si="61"/>
        <v>1908.8569157564614</v>
      </c>
      <c r="U356" s="130">
        <v>3813.6443754731267</v>
      </c>
    </row>
    <row r="357" spans="1:21" s="64" customFormat="1" ht="36" customHeight="1" x14ac:dyDescent="0.9">
      <c r="A357" s="64">
        <v>1</v>
      </c>
      <c r="B357" s="96">
        <f>SUBTOTAL(103,$A$16:A357)</f>
        <v>325</v>
      </c>
      <c r="C357" s="94" t="s">
        <v>1288</v>
      </c>
      <c r="D357" s="138">
        <v>1984</v>
      </c>
      <c r="E357" s="138"/>
      <c r="F357" s="167" t="s">
        <v>326</v>
      </c>
      <c r="G357" s="138">
        <v>2</v>
      </c>
      <c r="H357" s="138">
        <v>2</v>
      </c>
      <c r="I357" s="130">
        <v>610.29999999999995</v>
      </c>
      <c r="J357" s="130">
        <v>556.79999999999995</v>
      </c>
      <c r="K357" s="130">
        <v>498.5</v>
      </c>
      <c r="L357" s="139">
        <v>22</v>
      </c>
      <c r="M357" s="138" t="s">
        <v>271</v>
      </c>
      <c r="N357" s="138" t="s">
        <v>272</v>
      </c>
      <c r="O357" s="136" t="s">
        <v>274</v>
      </c>
      <c r="P357" s="130">
        <v>2476874.58</v>
      </c>
      <c r="Q357" s="130">
        <v>0</v>
      </c>
      <c r="R357" s="130">
        <v>0</v>
      </c>
      <c r="S357" s="130">
        <f t="shared" si="69"/>
        <v>2476874.58</v>
      </c>
      <c r="T357" s="130">
        <f t="shared" si="61"/>
        <v>4058.4541700802888</v>
      </c>
      <c r="U357" s="130">
        <v>7751.5476857283311</v>
      </c>
    </row>
    <row r="358" spans="1:21" s="64" customFormat="1" ht="36" customHeight="1" x14ac:dyDescent="0.9">
      <c r="A358" s="64">
        <v>1</v>
      </c>
      <c r="B358" s="96">
        <f>SUBTOTAL(103,$A$16:A358)</f>
        <v>326</v>
      </c>
      <c r="C358" s="94" t="s">
        <v>1289</v>
      </c>
      <c r="D358" s="138">
        <v>1967</v>
      </c>
      <c r="E358" s="138"/>
      <c r="F358" s="167" t="s">
        <v>273</v>
      </c>
      <c r="G358" s="138">
        <v>2</v>
      </c>
      <c r="H358" s="138">
        <v>2</v>
      </c>
      <c r="I358" s="130">
        <v>491.2</v>
      </c>
      <c r="J358" s="130">
        <v>435.7</v>
      </c>
      <c r="K358" s="130">
        <v>435.7</v>
      </c>
      <c r="L358" s="139">
        <v>18</v>
      </c>
      <c r="M358" s="138" t="s">
        <v>271</v>
      </c>
      <c r="N358" s="138" t="s">
        <v>272</v>
      </c>
      <c r="O358" s="136" t="s">
        <v>274</v>
      </c>
      <c r="P358" s="130">
        <v>1290357.97</v>
      </c>
      <c r="Q358" s="130">
        <v>0</v>
      </c>
      <c r="R358" s="130">
        <v>0</v>
      </c>
      <c r="S358" s="130">
        <f t="shared" si="69"/>
        <v>1290357.97</v>
      </c>
      <c r="T358" s="130">
        <f t="shared" si="61"/>
        <v>2626.9502646579804</v>
      </c>
      <c r="U358" s="130">
        <v>7272.9656555374595</v>
      </c>
    </row>
    <row r="359" spans="1:21" s="64" customFormat="1" ht="36" customHeight="1" x14ac:dyDescent="0.9">
      <c r="B359" s="94" t="s">
        <v>870</v>
      </c>
      <c r="C359" s="127"/>
      <c r="D359" s="138" t="s">
        <v>934</v>
      </c>
      <c r="E359" s="138" t="s">
        <v>934</v>
      </c>
      <c r="F359" s="138" t="s">
        <v>934</v>
      </c>
      <c r="G359" s="138" t="s">
        <v>934</v>
      </c>
      <c r="H359" s="138" t="s">
        <v>934</v>
      </c>
      <c r="I359" s="129">
        <f>SUM(I360:I361)</f>
        <v>1746.5</v>
      </c>
      <c r="J359" s="129">
        <f t="shared" ref="J359:L359" si="70">SUM(J360:J361)</f>
        <v>1598.5</v>
      </c>
      <c r="K359" s="129">
        <f t="shared" si="70"/>
        <v>1405.9</v>
      </c>
      <c r="L359" s="139">
        <f t="shared" si="70"/>
        <v>90</v>
      </c>
      <c r="M359" s="138" t="s">
        <v>934</v>
      </c>
      <c r="N359" s="138" t="s">
        <v>934</v>
      </c>
      <c r="O359" s="136" t="s">
        <v>934</v>
      </c>
      <c r="P359" s="130">
        <v>7838189.9699999997</v>
      </c>
      <c r="Q359" s="130">
        <f t="shared" ref="Q359:S359" si="71">SUM(Q360:Q361)</f>
        <v>0</v>
      </c>
      <c r="R359" s="130">
        <f t="shared" si="71"/>
        <v>0</v>
      </c>
      <c r="S359" s="130">
        <f t="shared" si="71"/>
        <v>7838189.9699999997</v>
      </c>
      <c r="T359" s="130">
        <f t="shared" si="61"/>
        <v>4487.9415803034635</v>
      </c>
      <c r="U359" s="130">
        <f>MAX(U360:U361)</f>
        <v>4697.2138007287349</v>
      </c>
    </row>
    <row r="360" spans="1:21" s="64" customFormat="1" ht="36" customHeight="1" x14ac:dyDescent="0.9">
      <c r="A360" s="64">
        <v>1</v>
      </c>
      <c r="B360" s="96">
        <f>SUBTOTAL(103,$A$16:A360)</f>
        <v>327</v>
      </c>
      <c r="C360" s="97" t="s">
        <v>0</v>
      </c>
      <c r="D360" s="138">
        <v>1975</v>
      </c>
      <c r="E360" s="138"/>
      <c r="F360" s="167" t="s">
        <v>273</v>
      </c>
      <c r="G360" s="138">
        <v>2</v>
      </c>
      <c r="H360" s="138">
        <v>2</v>
      </c>
      <c r="I360" s="130">
        <v>795.9</v>
      </c>
      <c r="J360" s="130">
        <v>735.5</v>
      </c>
      <c r="K360" s="130">
        <v>680.2</v>
      </c>
      <c r="L360" s="139">
        <v>37</v>
      </c>
      <c r="M360" s="138" t="s">
        <v>271</v>
      </c>
      <c r="N360" s="138" t="s">
        <v>272</v>
      </c>
      <c r="O360" s="136" t="s">
        <v>274</v>
      </c>
      <c r="P360" s="130">
        <v>3718130.24</v>
      </c>
      <c r="Q360" s="130">
        <v>0</v>
      </c>
      <c r="R360" s="130">
        <v>0</v>
      </c>
      <c r="S360" s="130">
        <f t="shared" ref="S360:S361" si="72">P360-Q360-R360</f>
        <v>3718130.24</v>
      </c>
      <c r="T360" s="130">
        <f t="shared" si="61"/>
        <v>4671.604774469155</v>
      </c>
      <c r="U360" s="130">
        <v>4697.2138007287349</v>
      </c>
    </row>
    <row r="361" spans="1:21" s="64" customFormat="1" ht="36" customHeight="1" x14ac:dyDescent="0.9">
      <c r="A361" s="64">
        <v>1</v>
      </c>
      <c r="B361" s="96">
        <f>SUBTOTAL(103,$A$16:A361)</f>
        <v>328</v>
      </c>
      <c r="C361" s="94" t="s">
        <v>5</v>
      </c>
      <c r="D361" s="138">
        <v>1979</v>
      </c>
      <c r="E361" s="138"/>
      <c r="F361" s="167" t="s">
        <v>273</v>
      </c>
      <c r="G361" s="138">
        <v>2</v>
      </c>
      <c r="H361" s="138">
        <v>3</v>
      </c>
      <c r="I361" s="130">
        <v>950.6</v>
      </c>
      <c r="J361" s="130">
        <v>863</v>
      </c>
      <c r="K361" s="130">
        <v>725.7</v>
      </c>
      <c r="L361" s="139">
        <v>53</v>
      </c>
      <c r="M361" s="138" t="s">
        <v>271</v>
      </c>
      <c r="N361" s="138" t="s">
        <v>272</v>
      </c>
      <c r="O361" s="136" t="s">
        <v>274</v>
      </c>
      <c r="P361" s="130">
        <v>4120059.7299999995</v>
      </c>
      <c r="Q361" s="130">
        <v>0</v>
      </c>
      <c r="R361" s="130">
        <v>0</v>
      </c>
      <c r="S361" s="130">
        <f t="shared" si="72"/>
        <v>4120059.7299999995</v>
      </c>
      <c r="T361" s="130">
        <f t="shared" si="61"/>
        <v>4334.1676099305696</v>
      </c>
      <c r="U361" s="130">
        <v>4334.1676099305696</v>
      </c>
    </row>
    <row r="362" spans="1:21" s="64" customFormat="1" ht="36" customHeight="1" x14ac:dyDescent="0.9">
      <c r="B362" s="94" t="s">
        <v>871</v>
      </c>
      <c r="C362" s="126"/>
      <c r="D362" s="138" t="s">
        <v>934</v>
      </c>
      <c r="E362" s="138" t="s">
        <v>934</v>
      </c>
      <c r="F362" s="138" t="s">
        <v>934</v>
      </c>
      <c r="G362" s="138" t="s">
        <v>934</v>
      </c>
      <c r="H362" s="138" t="s">
        <v>934</v>
      </c>
      <c r="I362" s="129">
        <f>SUM(I363:I365)</f>
        <v>5687.8</v>
      </c>
      <c r="J362" s="129">
        <f t="shared" ref="J362:L362" si="73">SUM(J363:J365)</f>
        <v>4407.8999999999996</v>
      </c>
      <c r="K362" s="129">
        <f t="shared" si="73"/>
        <v>2836.1</v>
      </c>
      <c r="L362" s="139">
        <f t="shared" si="73"/>
        <v>224</v>
      </c>
      <c r="M362" s="138" t="s">
        <v>934</v>
      </c>
      <c r="N362" s="138" t="s">
        <v>934</v>
      </c>
      <c r="O362" s="136" t="s">
        <v>934</v>
      </c>
      <c r="P362" s="129">
        <v>11111629.25</v>
      </c>
      <c r="Q362" s="129">
        <f t="shared" ref="Q362:S362" si="74">SUM(Q363:Q365)</f>
        <v>0</v>
      </c>
      <c r="R362" s="129">
        <f t="shared" si="74"/>
        <v>0</v>
      </c>
      <c r="S362" s="129">
        <f t="shared" si="74"/>
        <v>11111629.25</v>
      </c>
      <c r="T362" s="130">
        <f t="shared" si="61"/>
        <v>1953.5900084391153</v>
      </c>
      <c r="U362" s="130">
        <f>MAX(U363:U365)</f>
        <v>5753.2181836283189</v>
      </c>
    </row>
    <row r="363" spans="1:21" s="64" customFormat="1" ht="36" customHeight="1" x14ac:dyDescent="0.9">
      <c r="A363" s="64">
        <v>1</v>
      </c>
      <c r="B363" s="96">
        <f>SUBTOTAL(103,$A$16:A363)</f>
        <v>329</v>
      </c>
      <c r="C363" s="94" t="s">
        <v>734</v>
      </c>
      <c r="D363" s="138">
        <v>1928</v>
      </c>
      <c r="E363" s="138"/>
      <c r="F363" s="167" t="s">
        <v>338</v>
      </c>
      <c r="G363" s="138" t="s">
        <v>311</v>
      </c>
      <c r="H363" s="138" t="s">
        <v>312</v>
      </c>
      <c r="I363" s="130">
        <v>253.1</v>
      </c>
      <c r="J363" s="130">
        <v>231.8</v>
      </c>
      <c r="K363" s="130">
        <v>185.3</v>
      </c>
      <c r="L363" s="139">
        <v>14</v>
      </c>
      <c r="M363" s="138" t="s">
        <v>271</v>
      </c>
      <c r="N363" s="138" t="s">
        <v>275</v>
      </c>
      <c r="O363" s="136" t="s">
        <v>768</v>
      </c>
      <c r="P363" s="130">
        <v>977099.87</v>
      </c>
      <c r="Q363" s="130">
        <v>0</v>
      </c>
      <c r="R363" s="130">
        <v>0</v>
      </c>
      <c r="S363" s="130">
        <f t="shared" ref="S363:S364" si="75">P363-Q363-R363</f>
        <v>977099.87</v>
      </c>
      <c r="T363" s="130">
        <f t="shared" si="61"/>
        <v>3860.5289213749506</v>
      </c>
      <c r="U363" s="130">
        <v>4347.1897273804816</v>
      </c>
    </row>
    <row r="364" spans="1:21" s="64" customFormat="1" ht="36" customHeight="1" x14ac:dyDescent="0.9">
      <c r="A364" s="64">
        <v>1</v>
      </c>
      <c r="B364" s="96">
        <f>SUBTOTAL(103,$A$16:A364)</f>
        <v>330</v>
      </c>
      <c r="C364" s="94" t="s">
        <v>1291</v>
      </c>
      <c r="D364" s="138">
        <v>1972</v>
      </c>
      <c r="E364" s="138">
        <v>2010</v>
      </c>
      <c r="F364" s="167" t="s">
        <v>273</v>
      </c>
      <c r="G364" s="138">
        <v>5</v>
      </c>
      <c r="H364" s="138">
        <v>3</v>
      </c>
      <c r="I364" s="130">
        <v>4982.7</v>
      </c>
      <c r="J364" s="130">
        <v>3759.2</v>
      </c>
      <c r="K364" s="130">
        <v>2276.1</v>
      </c>
      <c r="L364" s="139">
        <v>197</v>
      </c>
      <c r="M364" s="138" t="s">
        <v>271</v>
      </c>
      <c r="N364" s="138" t="s">
        <v>275</v>
      </c>
      <c r="O364" s="136" t="s">
        <v>768</v>
      </c>
      <c r="P364" s="130">
        <v>8180311.9799999995</v>
      </c>
      <c r="Q364" s="130">
        <v>0</v>
      </c>
      <c r="R364" s="130">
        <v>0</v>
      </c>
      <c r="S364" s="130">
        <f t="shared" si="75"/>
        <v>8180311.9799999995</v>
      </c>
      <c r="T364" s="130">
        <f t="shared" si="61"/>
        <v>1641.7428261785778</v>
      </c>
      <c r="U364" s="130">
        <v>2753.19</v>
      </c>
    </row>
    <row r="365" spans="1:21" s="64" customFormat="1" ht="36" customHeight="1" x14ac:dyDescent="0.9">
      <c r="A365" s="64">
        <v>1</v>
      </c>
      <c r="B365" s="96">
        <f>SUBTOTAL(103,$A$16:A365)</f>
        <v>331</v>
      </c>
      <c r="C365" s="94" t="s">
        <v>1670</v>
      </c>
      <c r="D365" s="138">
        <v>1985</v>
      </c>
      <c r="E365" s="138"/>
      <c r="F365" s="167" t="s">
        <v>273</v>
      </c>
      <c r="G365" s="138">
        <v>2</v>
      </c>
      <c r="H365" s="138">
        <v>1</v>
      </c>
      <c r="I365" s="130">
        <v>452</v>
      </c>
      <c r="J365" s="130">
        <v>416.9</v>
      </c>
      <c r="K365" s="130">
        <f>J365-42.2</f>
        <v>374.7</v>
      </c>
      <c r="L365" s="139">
        <v>13</v>
      </c>
      <c r="M365" s="138" t="s">
        <v>271</v>
      </c>
      <c r="N365" s="138" t="s">
        <v>275</v>
      </c>
      <c r="O365" s="136" t="s">
        <v>1679</v>
      </c>
      <c r="P365" s="130">
        <v>1954217.4</v>
      </c>
      <c r="Q365" s="130">
        <v>0</v>
      </c>
      <c r="R365" s="130">
        <v>0</v>
      </c>
      <c r="S365" s="130">
        <f>P365-R365-Q365</f>
        <v>1954217.4</v>
      </c>
      <c r="T365" s="130">
        <f t="shared" si="61"/>
        <v>4323.4898230088493</v>
      </c>
      <c r="U365" s="130">
        <v>5753.2181836283189</v>
      </c>
    </row>
    <row r="366" spans="1:21" s="64" customFormat="1" ht="36" customHeight="1" x14ac:dyDescent="0.9">
      <c r="B366" s="94" t="s">
        <v>872</v>
      </c>
      <c r="C366" s="94"/>
      <c r="D366" s="138" t="s">
        <v>934</v>
      </c>
      <c r="E366" s="138" t="s">
        <v>934</v>
      </c>
      <c r="F366" s="138" t="s">
        <v>934</v>
      </c>
      <c r="G366" s="138" t="s">
        <v>934</v>
      </c>
      <c r="H366" s="138" t="s">
        <v>934</v>
      </c>
      <c r="I366" s="129">
        <f>SUM(I367:I369)</f>
        <v>12399.000000000002</v>
      </c>
      <c r="J366" s="129">
        <f t="shared" ref="J366:L366" si="76">SUM(J367:J369)</f>
        <v>10511.4</v>
      </c>
      <c r="K366" s="129">
        <f t="shared" si="76"/>
        <v>8974.0999999999985</v>
      </c>
      <c r="L366" s="139">
        <f t="shared" si="76"/>
        <v>454</v>
      </c>
      <c r="M366" s="138" t="s">
        <v>934</v>
      </c>
      <c r="N366" s="138" t="s">
        <v>934</v>
      </c>
      <c r="O366" s="136" t="s">
        <v>934</v>
      </c>
      <c r="P366" s="129">
        <v>12137858.549999999</v>
      </c>
      <c r="Q366" s="129">
        <f t="shared" ref="Q366:S366" si="77">SUM(Q367:Q369)</f>
        <v>0</v>
      </c>
      <c r="R366" s="129">
        <f t="shared" si="77"/>
        <v>830749.09</v>
      </c>
      <c r="S366" s="129">
        <f t="shared" si="77"/>
        <v>11307109.459999999</v>
      </c>
      <c r="T366" s="130">
        <f t="shared" si="61"/>
        <v>978.9385071376721</v>
      </c>
      <c r="U366" s="130">
        <f>MAX(U367:U369)</f>
        <v>2928.86</v>
      </c>
    </row>
    <row r="367" spans="1:21" s="64" customFormat="1" ht="36" customHeight="1" x14ac:dyDescent="0.9">
      <c r="A367" s="64">
        <v>1</v>
      </c>
      <c r="B367" s="96">
        <f>SUBTOTAL(103,$A$16:A367)</f>
        <v>332</v>
      </c>
      <c r="C367" s="94" t="s">
        <v>740</v>
      </c>
      <c r="D367" s="138">
        <v>1976</v>
      </c>
      <c r="E367" s="138">
        <v>2007</v>
      </c>
      <c r="F367" s="167" t="s">
        <v>319</v>
      </c>
      <c r="G367" s="138">
        <v>5</v>
      </c>
      <c r="H367" s="138">
        <v>6</v>
      </c>
      <c r="I367" s="130">
        <v>5095.72</v>
      </c>
      <c r="J367" s="130">
        <v>4603.3999999999996</v>
      </c>
      <c r="K367" s="130">
        <v>4603.3999999999996</v>
      </c>
      <c r="L367" s="139">
        <v>160</v>
      </c>
      <c r="M367" s="138" t="s">
        <v>271</v>
      </c>
      <c r="N367" s="138" t="s">
        <v>275</v>
      </c>
      <c r="O367" s="136" t="s">
        <v>769</v>
      </c>
      <c r="P367" s="130">
        <v>5427689.7599999998</v>
      </c>
      <c r="Q367" s="130">
        <v>0</v>
      </c>
      <c r="R367" s="130">
        <v>0</v>
      </c>
      <c r="S367" s="130">
        <f t="shared" ref="S367:S368" si="78">P367-Q367-R367</f>
        <v>5427689.7599999998</v>
      </c>
      <c r="T367" s="130">
        <f t="shared" si="61"/>
        <v>1065.1467820052906</v>
      </c>
      <c r="U367" s="130">
        <v>1472.2975084973273</v>
      </c>
    </row>
    <row r="368" spans="1:21" s="64" customFormat="1" ht="36" customHeight="1" x14ac:dyDescent="0.9">
      <c r="A368" s="64">
        <v>1</v>
      </c>
      <c r="B368" s="96">
        <f>SUBTOTAL(103,$A$16:A368)</f>
        <v>333</v>
      </c>
      <c r="C368" s="94" t="s">
        <v>1292</v>
      </c>
      <c r="D368" s="138">
        <v>1975</v>
      </c>
      <c r="E368" s="138">
        <v>2015</v>
      </c>
      <c r="F368" s="167" t="s">
        <v>273</v>
      </c>
      <c r="G368" s="138">
        <v>3</v>
      </c>
      <c r="H368" s="138">
        <v>2</v>
      </c>
      <c r="I368" s="130">
        <v>3932</v>
      </c>
      <c r="J368" s="130">
        <v>2816.3</v>
      </c>
      <c r="K368" s="130">
        <v>1279</v>
      </c>
      <c r="L368" s="139">
        <v>138</v>
      </c>
      <c r="M368" s="138" t="s">
        <v>271</v>
      </c>
      <c r="N368" s="138" t="s">
        <v>275</v>
      </c>
      <c r="O368" s="136" t="s">
        <v>768</v>
      </c>
      <c r="P368" s="130">
        <v>3085047.35</v>
      </c>
      <c r="Q368" s="130">
        <v>0</v>
      </c>
      <c r="R368" s="130">
        <v>830749.09</v>
      </c>
      <c r="S368" s="130">
        <f t="shared" si="78"/>
        <v>2254298.2600000002</v>
      </c>
      <c r="T368" s="130">
        <f t="shared" si="61"/>
        <v>784.60003814852496</v>
      </c>
      <c r="U368" s="130">
        <v>2928.86</v>
      </c>
    </row>
    <row r="369" spans="1:21" s="64" customFormat="1" ht="36" customHeight="1" x14ac:dyDescent="0.9">
      <c r="A369" s="64">
        <v>1</v>
      </c>
      <c r="B369" s="96">
        <f>SUBTOTAL(103,$A$16:A369)</f>
        <v>334</v>
      </c>
      <c r="C369" s="94" t="s">
        <v>1652</v>
      </c>
      <c r="D369" s="122">
        <v>1978</v>
      </c>
      <c r="E369" s="122"/>
      <c r="F369" s="168" t="s">
        <v>326</v>
      </c>
      <c r="G369" s="122">
        <v>5</v>
      </c>
      <c r="H369" s="122">
        <v>4</v>
      </c>
      <c r="I369" s="124">
        <v>3371.28</v>
      </c>
      <c r="J369" s="124">
        <v>3091.7</v>
      </c>
      <c r="K369" s="124">
        <v>3091.7</v>
      </c>
      <c r="L369" s="125">
        <v>156</v>
      </c>
      <c r="M369" s="122" t="s">
        <v>271</v>
      </c>
      <c r="N369" s="122" t="s">
        <v>275</v>
      </c>
      <c r="O369" s="123" t="s">
        <v>1680</v>
      </c>
      <c r="P369" s="130">
        <v>3625121.44</v>
      </c>
      <c r="Q369" s="130">
        <v>0</v>
      </c>
      <c r="R369" s="130">
        <v>0</v>
      </c>
      <c r="S369" s="130">
        <f>P369-R369-Q369</f>
        <v>3625121.44</v>
      </c>
      <c r="T369" s="130">
        <f t="shared" si="61"/>
        <v>1075.2952706390449</v>
      </c>
      <c r="U369" s="130">
        <v>1367.8712204266626</v>
      </c>
    </row>
    <row r="370" spans="1:21" s="64" customFormat="1" ht="36" customHeight="1" x14ac:dyDescent="0.9">
      <c r="B370" s="94" t="s">
        <v>873</v>
      </c>
      <c r="C370" s="94"/>
      <c r="D370" s="138" t="s">
        <v>934</v>
      </c>
      <c r="E370" s="138" t="s">
        <v>934</v>
      </c>
      <c r="F370" s="138" t="s">
        <v>934</v>
      </c>
      <c r="G370" s="138" t="s">
        <v>934</v>
      </c>
      <c r="H370" s="138" t="s">
        <v>934</v>
      </c>
      <c r="I370" s="129">
        <f>I371</f>
        <v>846.4</v>
      </c>
      <c r="J370" s="129">
        <f t="shared" ref="J370:L370" si="79">J371</f>
        <v>794.7</v>
      </c>
      <c r="K370" s="129">
        <f t="shared" si="79"/>
        <v>794.7</v>
      </c>
      <c r="L370" s="139">
        <f t="shared" si="79"/>
        <v>26</v>
      </c>
      <c r="M370" s="138" t="s">
        <v>934</v>
      </c>
      <c r="N370" s="138" t="s">
        <v>934</v>
      </c>
      <c r="O370" s="136" t="s">
        <v>934</v>
      </c>
      <c r="P370" s="130">
        <v>5698132.5200000005</v>
      </c>
      <c r="Q370" s="130">
        <f t="shared" ref="Q370:S370" si="80">Q371</f>
        <v>0</v>
      </c>
      <c r="R370" s="130">
        <f t="shared" si="80"/>
        <v>0</v>
      </c>
      <c r="S370" s="130">
        <f t="shared" si="80"/>
        <v>5698132.5200000005</v>
      </c>
      <c r="T370" s="130">
        <f t="shared" si="61"/>
        <v>6732.1981568998117</v>
      </c>
      <c r="U370" s="130">
        <f>U371</f>
        <v>8530.7040997164477</v>
      </c>
    </row>
    <row r="371" spans="1:21" s="64" customFormat="1" ht="36" customHeight="1" x14ac:dyDescent="0.9">
      <c r="A371" s="64">
        <v>1</v>
      </c>
      <c r="B371" s="96">
        <f>SUBTOTAL(103,$A$16:A371)</f>
        <v>335</v>
      </c>
      <c r="C371" s="94" t="s">
        <v>838</v>
      </c>
      <c r="D371" s="138">
        <v>1981</v>
      </c>
      <c r="E371" s="138"/>
      <c r="F371" s="167" t="s">
        <v>273</v>
      </c>
      <c r="G371" s="138">
        <v>2</v>
      </c>
      <c r="H371" s="138">
        <v>2</v>
      </c>
      <c r="I371" s="130">
        <v>846.4</v>
      </c>
      <c r="J371" s="130">
        <v>794.7</v>
      </c>
      <c r="K371" s="130">
        <v>794.7</v>
      </c>
      <c r="L371" s="139">
        <v>26</v>
      </c>
      <c r="M371" s="138" t="s">
        <v>271</v>
      </c>
      <c r="N371" s="138" t="s">
        <v>275</v>
      </c>
      <c r="O371" s="136" t="s">
        <v>768</v>
      </c>
      <c r="P371" s="130">
        <v>5698132.5200000005</v>
      </c>
      <c r="Q371" s="130">
        <v>0</v>
      </c>
      <c r="R371" s="130">
        <v>0</v>
      </c>
      <c r="S371" s="130">
        <f>P371-Q371-R371</f>
        <v>5698132.5200000005</v>
      </c>
      <c r="T371" s="130">
        <f t="shared" si="61"/>
        <v>6732.1981568998117</v>
      </c>
      <c r="U371" s="130">
        <v>8530.7040997164477</v>
      </c>
    </row>
    <row r="372" spans="1:21" s="64" customFormat="1" ht="36" customHeight="1" x14ac:dyDescent="0.9">
      <c r="B372" s="94" t="s">
        <v>874</v>
      </c>
      <c r="C372" s="126"/>
      <c r="D372" s="138" t="s">
        <v>934</v>
      </c>
      <c r="E372" s="138" t="s">
        <v>934</v>
      </c>
      <c r="F372" s="138" t="s">
        <v>934</v>
      </c>
      <c r="G372" s="138" t="s">
        <v>934</v>
      </c>
      <c r="H372" s="138" t="s">
        <v>934</v>
      </c>
      <c r="I372" s="129">
        <f>SUM(I373:I387)</f>
        <v>47247.65</v>
      </c>
      <c r="J372" s="129">
        <f t="shared" ref="J372:L372" si="81">SUM(J373:J387)</f>
        <v>36559.94</v>
      </c>
      <c r="K372" s="129">
        <f t="shared" si="81"/>
        <v>35483.350000000006</v>
      </c>
      <c r="L372" s="139">
        <f t="shared" si="81"/>
        <v>1628</v>
      </c>
      <c r="M372" s="138" t="s">
        <v>934</v>
      </c>
      <c r="N372" s="138" t="s">
        <v>934</v>
      </c>
      <c r="O372" s="136" t="s">
        <v>934</v>
      </c>
      <c r="P372" s="129">
        <v>56051993.530000009</v>
      </c>
      <c r="Q372" s="129">
        <f t="shared" ref="Q372:S372" si="82">SUM(Q373:Q387)</f>
        <v>0</v>
      </c>
      <c r="R372" s="129">
        <f t="shared" si="82"/>
        <v>0</v>
      </c>
      <c r="S372" s="129">
        <f t="shared" si="82"/>
        <v>56051993.530000009</v>
      </c>
      <c r="T372" s="130">
        <f t="shared" si="61"/>
        <v>1186.3445807357616</v>
      </c>
      <c r="U372" s="130">
        <f>MAX(U373:U387)</f>
        <v>5353.7766693811081</v>
      </c>
    </row>
    <row r="373" spans="1:21" s="64" customFormat="1" ht="36" customHeight="1" x14ac:dyDescent="0.9">
      <c r="A373" s="64">
        <v>1</v>
      </c>
      <c r="B373" s="96">
        <f>SUBTOTAL(103,$A$16:A373)</f>
        <v>336</v>
      </c>
      <c r="C373" s="94" t="s">
        <v>115</v>
      </c>
      <c r="D373" s="138">
        <v>1973</v>
      </c>
      <c r="E373" s="138"/>
      <c r="F373" s="167" t="s">
        <v>273</v>
      </c>
      <c r="G373" s="138">
        <v>2</v>
      </c>
      <c r="H373" s="138">
        <v>2</v>
      </c>
      <c r="I373" s="130">
        <v>781.03</v>
      </c>
      <c r="J373" s="130">
        <v>720.97</v>
      </c>
      <c r="K373" s="130">
        <v>681.23</v>
      </c>
      <c r="L373" s="139">
        <v>38</v>
      </c>
      <c r="M373" s="138" t="s">
        <v>271</v>
      </c>
      <c r="N373" s="138" t="s">
        <v>275</v>
      </c>
      <c r="O373" s="136" t="s">
        <v>290</v>
      </c>
      <c r="P373" s="130">
        <v>3325000</v>
      </c>
      <c r="Q373" s="130">
        <v>0</v>
      </c>
      <c r="R373" s="130">
        <v>0</v>
      </c>
      <c r="S373" s="130">
        <f t="shared" ref="S373:S385" si="83">P373-Q373-R373</f>
        <v>3325000</v>
      </c>
      <c r="T373" s="130">
        <f t="shared" si="61"/>
        <v>4257.1988271897371</v>
      </c>
      <c r="U373" s="130">
        <v>5147.3450443644933</v>
      </c>
    </row>
    <row r="374" spans="1:21" s="64" customFormat="1" ht="36" customHeight="1" x14ac:dyDescent="0.9">
      <c r="A374" s="64">
        <v>1</v>
      </c>
      <c r="B374" s="96">
        <f>SUBTOTAL(103,$A$16:A374)</f>
        <v>337</v>
      </c>
      <c r="C374" s="94" t="s">
        <v>118</v>
      </c>
      <c r="D374" s="138">
        <v>1972</v>
      </c>
      <c r="E374" s="138"/>
      <c r="F374" s="167" t="s">
        <v>273</v>
      </c>
      <c r="G374" s="138">
        <v>2</v>
      </c>
      <c r="H374" s="138">
        <v>2</v>
      </c>
      <c r="I374" s="130">
        <v>788.14</v>
      </c>
      <c r="J374" s="130">
        <v>731.72</v>
      </c>
      <c r="K374" s="130">
        <v>674.63</v>
      </c>
      <c r="L374" s="139">
        <v>35</v>
      </c>
      <c r="M374" s="138" t="s">
        <v>271</v>
      </c>
      <c r="N374" s="138" t="s">
        <v>275</v>
      </c>
      <c r="O374" s="136" t="s">
        <v>290</v>
      </c>
      <c r="P374" s="130">
        <v>3106500</v>
      </c>
      <c r="Q374" s="130">
        <v>0</v>
      </c>
      <c r="R374" s="130">
        <v>0</v>
      </c>
      <c r="S374" s="130">
        <f t="shared" si="83"/>
        <v>3106500</v>
      </c>
      <c r="T374" s="130">
        <f t="shared" si="61"/>
        <v>3941.5586063389756</v>
      </c>
      <c r="U374" s="130">
        <v>4765.7069784556043</v>
      </c>
    </row>
    <row r="375" spans="1:21" s="64" customFormat="1" ht="36" customHeight="1" x14ac:dyDescent="0.9">
      <c r="A375" s="64">
        <v>1</v>
      </c>
      <c r="B375" s="96">
        <f>SUBTOTAL(103,$A$16:A375)</f>
        <v>338</v>
      </c>
      <c r="C375" s="94" t="s">
        <v>114</v>
      </c>
      <c r="D375" s="138">
        <v>1969</v>
      </c>
      <c r="E375" s="138"/>
      <c r="F375" s="167" t="s">
        <v>273</v>
      </c>
      <c r="G375" s="138">
        <v>2</v>
      </c>
      <c r="H375" s="138">
        <v>1</v>
      </c>
      <c r="I375" s="130">
        <v>399.42</v>
      </c>
      <c r="J375" s="130">
        <v>370.5</v>
      </c>
      <c r="K375" s="130">
        <v>326.83</v>
      </c>
      <c r="L375" s="139">
        <v>18</v>
      </c>
      <c r="M375" s="138" t="s">
        <v>271</v>
      </c>
      <c r="N375" s="138" t="s">
        <v>275</v>
      </c>
      <c r="O375" s="136" t="s">
        <v>290</v>
      </c>
      <c r="P375" s="130">
        <v>1617500</v>
      </c>
      <c r="Q375" s="130">
        <v>0</v>
      </c>
      <c r="R375" s="130">
        <v>0</v>
      </c>
      <c r="S375" s="130">
        <f t="shared" si="83"/>
        <v>1617500</v>
      </c>
      <c r="T375" s="130">
        <f t="shared" si="61"/>
        <v>4049.6219518301536</v>
      </c>
      <c r="U375" s="130">
        <v>4896.3655049822246</v>
      </c>
    </row>
    <row r="376" spans="1:21" s="64" customFormat="1" ht="36" customHeight="1" x14ac:dyDescent="0.9">
      <c r="A376" s="64">
        <v>1</v>
      </c>
      <c r="B376" s="96">
        <f>SUBTOTAL(103,$A$16:A376)</f>
        <v>339</v>
      </c>
      <c r="C376" s="94" t="s">
        <v>116</v>
      </c>
      <c r="D376" s="138">
        <v>1972</v>
      </c>
      <c r="E376" s="138"/>
      <c r="F376" s="167" t="s">
        <v>293</v>
      </c>
      <c r="G376" s="138">
        <v>5</v>
      </c>
      <c r="H376" s="138">
        <v>5</v>
      </c>
      <c r="I376" s="130">
        <v>5806.44</v>
      </c>
      <c r="J376" s="130">
        <v>4492</v>
      </c>
      <c r="K376" s="130">
        <v>4492</v>
      </c>
      <c r="L376" s="139">
        <v>211</v>
      </c>
      <c r="M376" s="138" t="s">
        <v>271</v>
      </c>
      <c r="N376" s="138" t="s">
        <v>275</v>
      </c>
      <c r="O376" s="136" t="s">
        <v>291</v>
      </c>
      <c r="P376" s="130">
        <v>5416920.4299999997</v>
      </c>
      <c r="Q376" s="130">
        <v>0</v>
      </c>
      <c r="R376" s="130">
        <v>0</v>
      </c>
      <c r="S376" s="130">
        <f t="shared" si="83"/>
        <v>5416920.4299999997</v>
      </c>
      <c r="T376" s="130">
        <f t="shared" si="61"/>
        <v>932.91593988743534</v>
      </c>
      <c r="U376" s="130">
        <v>1289.1700546289983</v>
      </c>
    </row>
    <row r="377" spans="1:21" s="64" customFormat="1" ht="36" customHeight="1" x14ac:dyDescent="0.9">
      <c r="A377" s="64">
        <v>1</v>
      </c>
      <c r="B377" s="96">
        <f>SUBTOTAL(103,$A$16:A377)</f>
        <v>340</v>
      </c>
      <c r="C377" s="94" t="s">
        <v>117</v>
      </c>
      <c r="D377" s="138">
        <v>1973</v>
      </c>
      <c r="E377" s="138"/>
      <c r="F377" s="167" t="s">
        <v>293</v>
      </c>
      <c r="G377" s="138">
        <v>5</v>
      </c>
      <c r="H377" s="138">
        <v>6</v>
      </c>
      <c r="I377" s="130">
        <v>6042.57</v>
      </c>
      <c r="J377" s="130">
        <v>4619</v>
      </c>
      <c r="K377" s="130">
        <v>4619</v>
      </c>
      <c r="L377" s="139">
        <v>176</v>
      </c>
      <c r="M377" s="138" t="s">
        <v>271</v>
      </c>
      <c r="N377" s="138" t="s">
        <v>275</v>
      </c>
      <c r="O377" s="136" t="s">
        <v>291</v>
      </c>
      <c r="P377" s="130">
        <v>5823270.3499999996</v>
      </c>
      <c r="Q377" s="130">
        <v>0</v>
      </c>
      <c r="R377" s="130">
        <v>0</v>
      </c>
      <c r="S377" s="130">
        <f t="shared" si="83"/>
        <v>5823270.3499999996</v>
      </c>
      <c r="T377" s="130">
        <f t="shared" si="61"/>
        <v>963.70755324307368</v>
      </c>
      <c r="U377" s="130">
        <v>1151.5504925884186</v>
      </c>
    </row>
    <row r="378" spans="1:21" s="64" customFormat="1" ht="36" customHeight="1" x14ac:dyDescent="0.9">
      <c r="A378" s="64">
        <v>1</v>
      </c>
      <c r="B378" s="96">
        <f>SUBTOTAL(103,$A$16:A378)</f>
        <v>341</v>
      </c>
      <c r="C378" s="94" t="s">
        <v>119</v>
      </c>
      <c r="D378" s="138">
        <v>1973</v>
      </c>
      <c r="E378" s="138"/>
      <c r="F378" s="167" t="s">
        <v>273</v>
      </c>
      <c r="G378" s="138">
        <v>2</v>
      </c>
      <c r="H378" s="138">
        <v>2</v>
      </c>
      <c r="I378" s="130">
        <v>787.52</v>
      </c>
      <c r="J378" s="130">
        <v>728.1</v>
      </c>
      <c r="K378" s="130">
        <v>728.1</v>
      </c>
      <c r="L378" s="139">
        <v>30</v>
      </c>
      <c r="M378" s="138" t="s">
        <v>271</v>
      </c>
      <c r="N378" s="138" t="s">
        <v>275</v>
      </c>
      <c r="O378" s="136" t="s">
        <v>291</v>
      </c>
      <c r="P378" s="130">
        <v>3199500</v>
      </c>
      <c r="Q378" s="130">
        <v>0</v>
      </c>
      <c r="R378" s="130">
        <v>0</v>
      </c>
      <c r="S378" s="130">
        <f t="shared" si="83"/>
        <v>3199500</v>
      </c>
      <c r="T378" s="130">
        <f t="shared" si="61"/>
        <v>4062.7539618041446</v>
      </c>
      <c r="U378" s="130">
        <v>4912.2433131856969</v>
      </c>
    </row>
    <row r="379" spans="1:21" s="64" customFormat="1" ht="36" customHeight="1" x14ac:dyDescent="0.9">
      <c r="A379" s="64">
        <v>1</v>
      </c>
      <c r="B379" s="96">
        <f>SUBTOTAL(103,$A$16:A379)</f>
        <v>342</v>
      </c>
      <c r="C379" s="94" t="s">
        <v>120</v>
      </c>
      <c r="D379" s="138">
        <v>1979</v>
      </c>
      <c r="E379" s="138"/>
      <c r="F379" s="167" t="s">
        <v>273</v>
      </c>
      <c r="G379" s="138">
        <v>2</v>
      </c>
      <c r="H379" s="138">
        <v>3</v>
      </c>
      <c r="I379" s="130">
        <v>1253.7</v>
      </c>
      <c r="J379" s="130">
        <v>1133.5</v>
      </c>
      <c r="K379" s="130">
        <v>1133.5</v>
      </c>
      <c r="L379" s="139">
        <v>56</v>
      </c>
      <c r="M379" s="138" t="s">
        <v>271</v>
      </c>
      <c r="N379" s="138" t="s">
        <v>275</v>
      </c>
      <c r="O379" s="136" t="s">
        <v>291</v>
      </c>
      <c r="P379" s="130">
        <v>2417780.6800000002</v>
      </c>
      <c r="Q379" s="130">
        <v>0</v>
      </c>
      <c r="R379" s="130">
        <v>0</v>
      </c>
      <c r="S379" s="130">
        <f t="shared" si="83"/>
        <v>2417780.6800000002</v>
      </c>
      <c r="T379" s="130">
        <f t="shared" si="61"/>
        <v>1928.5161362367394</v>
      </c>
      <c r="U379" s="130">
        <v>3023.77</v>
      </c>
    </row>
    <row r="380" spans="1:21" s="64" customFormat="1" ht="36" customHeight="1" x14ac:dyDescent="0.9">
      <c r="A380" s="64">
        <v>1</v>
      </c>
      <c r="B380" s="96">
        <f>SUBTOTAL(103,$A$16:A380)</f>
        <v>343</v>
      </c>
      <c r="C380" s="94" t="s">
        <v>1293</v>
      </c>
      <c r="D380" s="138" t="s">
        <v>317</v>
      </c>
      <c r="E380" s="138"/>
      <c r="F380" s="167" t="s">
        <v>273</v>
      </c>
      <c r="G380" s="138" t="s">
        <v>361</v>
      </c>
      <c r="H380" s="138" t="s">
        <v>383</v>
      </c>
      <c r="I380" s="130">
        <v>5104.97</v>
      </c>
      <c r="J380" s="130">
        <v>4716.63</v>
      </c>
      <c r="K380" s="130">
        <v>3830.44</v>
      </c>
      <c r="L380" s="139">
        <v>208</v>
      </c>
      <c r="M380" s="138" t="s">
        <v>271</v>
      </c>
      <c r="N380" s="138" t="s">
        <v>275</v>
      </c>
      <c r="O380" s="136" t="s">
        <v>1380</v>
      </c>
      <c r="P380" s="130">
        <v>6033854.2400000002</v>
      </c>
      <c r="Q380" s="130">
        <v>0</v>
      </c>
      <c r="R380" s="130">
        <v>0</v>
      </c>
      <c r="S380" s="130">
        <f t="shared" si="83"/>
        <v>6033854.2400000002</v>
      </c>
      <c r="T380" s="130">
        <f t="shared" si="61"/>
        <v>1181.9568459755885</v>
      </c>
      <c r="U380" s="130">
        <v>4821.3992194861084</v>
      </c>
    </row>
    <row r="381" spans="1:21" s="64" customFormat="1" ht="36" customHeight="1" x14ac:dyDescent="0.9">
      <c r="A381" s="64">
        <v>1</v>
      </c>
      <c r="B381" s="96">
        <f>SUBTOTAL(103,$A$16:A381)</f>
        <v>344</v>
      </c>
      <c r="C381" s="94" t="s">
        <v>1294</v>
      </c>
      <c r="D381" s="138">
        <v>1973</v>
      </c>
      <c r="E381" s="138"/>
      <c r="F381" s="167" t="s">
        <v>326</v>
      </c>
      <c r="G381" s="138">
        <v>5</v>
      </c>
      <c r="H381" s="138">
        <v>6</v>
      </c>
      <c r="I381" s="130">
        <v>4615</v>
      </c>
      <c r="J381" s="130">
        <v>3188.68</v>
      </c>
      <c r="K381" s="130">
        <v>3188.68</v>
      </c>
      <c r="L381" s="139">
        <v>184</v>
      </c>
      <c r="M381" s="138" t="s">
        <v>271</v>
      </c>
      <c r="N381" s="138" t="s">
        <v>275</v>
      </c>
      <c r="O381" s="136" t="s">
        <v>1381</v>
      </c>
      <c r="P381" s="130">
        <v>4209702.2299999995</v>
      </c>
      <c r="Q381" s="130">
        <v>0</v>
      </c>
      <c r="R381" s="130">
        <v>0</v>
      </c>
      <c r="S381" s="130">
        <f t="shared" si="83"/>
        <v>4209702.2299999995</v>
      </c>
      <c r="T381" s="130">
        <f t="shared" si="61"/>
        <v>912.17816468038995</v>
      </c>
      <c r="U381" s="130">
        <v>1506.8456420368364</v>
      </c>
    </row>
    <row r="382" spans="1:21" s="64" customFormat="1" ht="36" customHeight="1" x14ac:dyDescent="0.9">
      <c r="A382" s="64">
        <v>1</v>
      </c>
      <c r="B382" s="96">
        <f>SUBTOTAL(103,$A$16:A382)</f>
        <v>345</v>
      </c>
      <c r="C382" s="94" t="s">
        <v>1295</v>
      </c>
      <c r="D382" s="138">
        <v>1974</v>
      </c>
      <c r="E382" s="138"/>
      <c r="F382" s="167" t="s">
        <v>293</v>
      </c>
      <c r="G382" s="138">
        <v>5</v>
      </c>
      <c r="H382" s="138">
        <v>4</v>
      </c>
      <c r="I382" s="130">
        <v>4089.9</v>
      </c>
      <c r="J382" s="130">
        <v>3096</v>
      </c>
      <c r="K382" s="130">
        <v>3096</v>
      </c>
      <c r="L382" s="139">
        <v>116</v>
      </c>
      <c r="M382" s="138" t="s">
        <v>271</v>
      </c>
      <c r="N382" s="138" t="s">
        <v>275</v>
      </c>
      <c r="O382" s="136" t="s">
        <v>1408</v>
      </c>
      <c r="P382" s="130">
        <v>2832917.6399999997</v>
      </c>
      <c r="Q382" s="130">
        <v>0</v>
      </c>
      <c r="R382" s="130">
        <v>0</v>
      </c>
      <c r="S382" s="130">
        <f t="shared" si="83"/>
        <v>2832917.6399999997</v>
      </c>
      <c r="T382" s="130">
        <f t="shared" si="61"/>
        <v>692.6618352526956</v>
      </c>
      <c r="U382" s="130">
        <v>1497.3595882539917</v>
      </c>
    </row>
    <row r="383" spans="1:21" s="64" customFormat="1" ht="36" customHeight="1" x14ac:dyDescent="0.9">
      <c r="A383" s="64">
        <v>1</v>
      </c>
      <c r="B383" s="96">
        <f>SUBTOTAL(103,$A$16:A383)</f>
        <v>346</v>
      </c>
      <c r="C383" s="94" t="s">
        <v>1296</v>
      </c>
      <c r="D383" s="138">
        <v>1966</v>
      </c>
      <c r="E383" s="138"/>
      <c r="F383" s="167" t="s">
        <v>293</v>
      </c>
      <c r="G383" s="138">
        <v>2</v>
      </c>
      <c r="H383" s="138">
        <v>2</v>
      </c>
      <c r="I383" s="130">
        <v>1059</v>
      </c>
      <c r="J383" s="130">
        <v>649.9</v>
      </c>
      <c r="K383" s="130">
        <v>649.9</v>
      </c>
      <c r="L383" s="139">
        <v>27</v>
      </c>
      <c r="M383" s="138" t="s">
        <v>271</v>
      </c>
      <c r="N383" s="138" t="s">
        <v>275</v>
      </c>
      <c r="O383" s="136" t="s">
        <v>1408</v>
      </c>
      <c r="P383" s="130">
        <v>2136613.5299999998</v>
      </c>
      <c r="Q383" s="130">
        <v>0</v>
      </c>
      <c r="R383" s="130">
        <v>0</v>
      </c>
      <c r="S383" s="130">
        <f t="shared" si="83"/>
        <v>2136613.5299999998</v>
      </c>
      <c r="T383" s="130">
        <f t="shared" si="61"/>
        <v>2017.5765155807364</v>
      </c>
      <c r="U383" s="130">
        <v>2632.2583626062324</v>
      </c>
    </row>
    <row r="384" spans="1:21" s="64" customFormat="1" ht="36" customHeight="1" x14ac:dyDescent="0.9">
      <c r="A384" s="64">
        <v>1</v>
      </c>
      <c r="B384" s="96">
        <f>SUBTOTAL(103,$A$16:A384)</f>
        <v>347</v>
      </c>
      <c r="C384" s="94" t="s">
        <v>1297</v>
      </c>
      <c r="D384" s="138">
        <v>1987</v>
      </c>
      <c r="E384" s="138"/>
      <c r="F384" s="167" t="s">
        <v>273</v>
      </c>
      <c r="G384" s="138">
        <v>2</v>
      </c>
      <c r="H384" s="138">
        <v>3</v>
      </c>
      <c r="I384" s="130">
        <v>1448.2</v>
      </c>
      <c r="J384" s="130">
        <v>864.2</v>
      </c>
      <c r="K384" s="130">
        <v>864.2</v>
      </c>
      <c r="L384" s="139">
        <v>53</v>
      </c>
      <c r="M384" s="138" t="s">
        <v>271</v>
      </c>
      <c r="N384" s="138" t="s">
        <v>275</v>
      </c>
      <c r="O384" s="136" t="s">
        <v>1409</v>
      </c>
      <c r="P384" s="130">
        <v>1604654.52</v>
      </c>
      <c r="Q384" s="130">
        <v>0</v>
      </c>
      <c r="R384" s="130">
        <v>0</v>
      </c>
      <c r="S384" s="130">
        <f t="shared" si="83"/>
        <v>1604654.52</v>
      </c>
      <c r="T384" s="130">
        <f t="shared" si="61"/>
        <v>1108.0337798646597</v>
      </c>
      <c r="U384" s="130">
        <v>3023.77</v>
      </c>
    </row>
    <row r="385" spans="1:184" s="64" customFormat="1" ht="36" customHeight="1" x14ac:dyDescent="0.9">
      <c r="A385" s="64">
        <v>1</v>
      </c>
      <c r="B385" s="96">
        <f>SUBTOTAL(103,$A$16:A385)</f>
        <v>348</v>
      </c>
      <c r="C385" s="94" t="s">
        <v>1298</v>
      </c>
      <c r="D385" s="138">
        <v>1978</v>
      </c>
      <c r="E385" s="138"/>
      <c r="F385" s="167" t="s">
        <v>326</v>
      </c>
      <c r="G385" s="138">
        <v>5</v>
      </c>
      <c r="H385" s="138">
        <v>8</v>
      </c>
      <c r="I385" s="130">
        <v>7971.79</v>
      </c>
      <c r="J385" s="130">
        <v>6074.64</v>
      </c>
      <c r="K385" s="130">
        <v>6074.64</v>
      </c>
      <c r="L385" s="139">
        <v>264</v>
      </c>
      <c r="M385" s="138" t="s">
        <v>271</v>
      </c>
      <c r="N385" s="138" t="s">
        <v>275</v>
      </c>
      <c r="O385" s="136" t="s">
        <v>1409</v>
      </c>
      <c r="P385" s="130">
        <v>5506257.7399999993</v>
      </c>
      <c r="Q385" s="130">
        <v>0</v>
      </c>
      <c r="R385" s="130">
        <v>0</v>
      </c>
      <c r="S385" s="130">
        <f t="shared" si="83"/>
        <v>5506257.7399999993</v>
      </c>
      <c r="T385" s="130">
        <f t="shared" si="61"/>
        <v>690.71786135861578</v>
      </c>
      <c r="U385" s="130">
        <v>1175.4528154906238</v>
      </c>
    </row>
    <row r="386" spans="1:184" s="64" customFormat="1" ht="36" customHeight="1" x14ac:dyDescent="0.9">
      <c r="A386" s="64">
        <v>1</v>
      </c>
      <c r="B386" s="96">
        <f>SUBTOTAL(103,$A$16:A386)</f>
        <v>349</v>
      </c>
      <c r="C386" s="94" t="s">
        <v>1656</v>
      </c>
      <c r="D386" s="138">
        <v>1977</v>
      </c>
      <c r="E386" s="138"/>
      <c r="F386" s="167" t="s">
        <v>1674</v>
      </c>
      <c r="G386" s="138">
        <v>2</v>
      </c>
      <c r="H386" s="138">
        <v>3</v>
      </c>
      <c r="I386" s="130">
        <v>982.4</v>
      </c>
      <c r="J386" s="130">
        <v>564.1</v>
      </c>
      <c r="K386" s="130">
        <f>J386-49.9</f>
        <v>514.20000000000005</v>
      </c>
      <c r="L386" s="139">
        <v>46</v>
      </c>
      <c r="M386" s="138" t="s">
        <v>271</v>
      </c>
      <c r="N386" s="138" t="s">
        <v>275</v>
      </c>
      <c r="O386" s="136" t="s">
        <v>1681</v>
      </c>
      <c r="P386" s="130">
        <v>4542966</v>
      </c>
      <c r="Q386" s="130">
        <v>0</v>
      </c>
      <c r="R386" s="130">
        <v>0</v>
      </c>
      <c r="S386" s="130">
        <f>P386-R386-Q386</f>
        <v>4542966</v>
      </c>
      <c r="T386" s="130">
        <f t="shared" si="61"/>
        <v>4624.3546416938116</v>
      </c>
      <c r="U386" s="130">
        <v>5353.7766693811081</v>
      </c>
    </row>
    <row r="387" spans="1:184" s="20" customFormat="1" ht="36" customHeight="1" x14ac:dyDescent="0.9">
      <c r="A387" s="64">
        <v>1</v>
      </c>
      <c r="B387" s="96">
        <f>SUBTOTAL(103,$A$16:A387)</f>
        <v>350</v>
      </c>
      <c r="C387" s="128" t="s">
        <v>136</v>
      </c>
      <c r="D387" s="122">
        <v>1976</v>
      </c>
      <c r="E387" s="122"/>
      <c r="F387" s="168" t="s">
        <v>293</v>
      </c>
      <c r="G387" s="122">
        <v>5</v>
      </c>
      <c r="H387" s="122">
        <v>6</v>
      </c>
      <c r="I387" s="124">
        <v>6117.57</v>
      </c>
      <c r="J387" s="124">
        <v>4610</v>
      </c>
      <c r="K387" s="124">
        <v>4610</v>
      </c>
      <c r="L387" s="125">
        <v>166</v>
      </c>
      <c r="M387" s="122" t="s">
        <v>271</v>
      </c>
      <c r="N387" s="122" t="s">
        <v>275</v>
      </c>
      <c r="O387" s="122" t="s">
        <v>291</v>
      </c>
      <c r="P387" s="129">
        <v>4278556.17</v>
      </c>
      <c r="Q387" s="129">
        <v>0</v>
      </c>
      <c r="R387" s="129">
        <v>0</v>
      </c>
      <c r="S387" s="129">
        <f>P387-Q387-R387</f>
        <v>4278556.17</v>
      </c>
      <c r="T387" s="130">
        <f t="shared" si="61"/>
        <v>699.38818354346586</v>
      </c>
      <c r="U387" s="130">
        <v>1143.2632031999635</v>
      </c>
      <c r="DJ387" s="131"/>
      <c r="DK387" s="131"/>
      <c r="DL387" s="131"/>
      <c r="DZ387" s="132"/>
      <c r="EI387" s="133"/>
      <c r="FL387" s="134"/>
      <c r="GB387" s="135"/>
    </row>
    <row r="388" spans="1:184" s="64" customFormat="1" ht="36" customHeight="1" x14ac:dyDescent="0.9">
      <c r="B388" s="94" t="s">
        <v>875</v>
      </c>
      <c r="C388" s="94"/>
      <c r="D388" s="138" t="s">
        <v>934</v>
      </c>
      <c r="E388" s="138" t="s">
        <v>934</v>
      </c>
      <c r="F388" s="138" t="s">
        <v>934</v>
      </c>
      <c r="G388" s="138" t="s">
        <v>934</v>
      </c>
      <c r="H388" s="138" t="s">
        <v>934</v>
      </c>
      <c r="I388" s="129">
        <f>SUM(I389:I390)</f>
        <v>2529.2999999999997</v>
      </c>
      <c r="J388" s="129">
        <f t="shared" ref="J388:L388" si="84">SUM(J389:J390)</f>
        <v>2495.1999999999998</v>
      </c>
      <c r="K388" s="129">
        <f t="shared" si="84"/>
        <v>1873.5</v>
      </c>
      <c r="L388" s="139">
        <f t="shared" si="84"/>
        <v>114</v>
      </c>
      <c r="M388" s="138" t="s">
        <v>934</v>
      </c>
      <c r="N388" s="138" t="s">
        <v>934</v>
      </c>
      <c r="O388" s="136" t="s">
        <v>934</v>
      </c>
      <c r="P388" s="130">
        <v>2913286.51</v>
      </c>
      <c r="Q388" s="130">
        <f t="shared" ref="Q388:S388" si="85">SUM(Q389:Q390)</f>
        <v>0</v>
      </c>
      <c r="R388" s="130">
        <f t="shared" si="85"/>
        <v>0</v>
      </c>
      <c r="S388" s="130">
        <f t="shared" si="85"/>
        <v>2913286.51</v>
      </c>
      <c r="T388" s="130">
        <f t="shared" si="61"/>
        <v>1151.8153283517179</v>
      </c>
      <c r="U388" s="130">
        <f>MAX(U389:U390)</f>
        <v>1752.1412767569616</v>
      </c>
    </row>
    <row r="389" spans="1:184" s="64" customFormat="1" ht="36" customHeight="1" x14ac:dyDescent="0.9">
      <c r="A389" s="64">
        <v>1</v>
      </c>
      <c r="B389" s="96">
        <f>SUBTOTAL(103,$A$16:A389)</f>
        <v>351</v>
      </c>
      <c r="C389" s="94" t="s">
        <v>121</v>
      </c>
      <c r="D389" s="138">
        <v>1984</v>
      </c>
      <c r="E389" s="138"/>
      <c r="F389" s="167" t="s">
        <v>293</v>
      </c>
      <c r="G389" s="138">
        <v>5</v>
      </c>
      <c r="H389" s="138">
        <v>3</v>
      </c>
      <c r="I389" s="130">
        <v>2111.6</v>
      </c>
      <c r="J389" s="130">
        <v>2111.6</v>
      </c>
      <c r="K389" s="130">
        <v>1535.5</v>
      </c>
      <c r="L389" s="139">
        <v>91</v>
      </c>
      <c r="M389" s="138" t="s">
        <v>271</v>
      </c>
      <c r="N389" s="138" t="s">
        <v>275</v>
      </c>
      <c r="O389" s="136" t="s">
        <v>292</v>
      </c>
      <c r="P389" s="130">
        <v>2379404.19</v>
      </c>
      <c r="Q389" s="130">
        <v>0</v>
      </c>
      <c r="R389" s="130">
        <v>0</v>
      </c>
      <c r="S389" s="130">
        <f t="shared" ref="S389:S390" si="86">P389-Q389-R389</f>
        <v>2379404.19</v>
      </c>
      <c r="T389" s="130">
        <f t="shared" si="61"/>
        <v>1126.8252462587611</v>
      </c>
      <c r="U389" s="130">
        <v>1752.1412767569616</v>
      </c>
    </row>
    <row r="390" spans="1:184" s="64" customFormat="1" ht="36" customHeight="1" x14ac:dyDescent="0.9">
      <c r="A390" s="64">
        <v>1</v>
      </c>
      <c r="B390" s="96">
        <f>SUBTOTAL(103,$A$16:A390)</f>
        <v>352</v>
      </c>
      <c r="C390" s="94" t="s">
        <v>1299</v>
      </c>
      <c r="D390" s="138">
        <v>1987</v>
      </c>
      <c r="E390" s="138"/>
      <c r="F390" s="167" t="s">
        <v>273</v>
      </c>
      <c r="G390" s="138">
        <v>2</v>
      </c>
      <c r="H390" s="138">
        <v>1</v>
      </c>
      <c r="I390" s="130">
        <v>417.7</v>
      </c>
      <c r="J390" s="130">
        <v>383.6</v>
      </c>
      <c r="K390" s="130">
        <v>338</v>
      </c>
      <c r="L390" s="139">
        <v>23</v>
      </c>
      <c r="M390" s="138" t="s">
        <v>271</v>
      </c>
      <c r="N390" s="138" t="s">
        <v>272</v>
      </c>
      <c r="O390" s="136" t="s">
        <v>274</v>
      </c>
      <c r="P390" s="130">
        <v>533882.31999999995</v>
      </c>
      <c r="Q390" s="130">
        <v>0</v>
      </c>
      <c r="R390" s="130">
        <v>0</v>
      </c>
      <c r="S390" s="130">
        <f t="shared" si="86"/>
        <v>533882.31999999995</v>
      </c>
      <c r="T390" s="130">
        <f t="shared" si="61"/>
        <v>1278.1477615513525</v>
      </c>
      <c r="U390" s="130">
        <v>1278.1477615513525</v>
      </c>
    </row>
    <row r="391" spans="1:184" s="64" customFormat="1" ht="36" customHeight="1" x14ac:dyDescent="0.9">
      <c r="B391" s="94" t="s">
        <v>935</v>
      </c>
      <c r="C391" s="94"/>
      <c r="D391" s="138" t="s">
        <v>934</v>
      </c>
      <c r="E391" s="138" t="s">
        <v>934</v>
      </c>
      <c r="F391" s="138" t="s">
        <v>934</v>
      </c>
      <c r="G391" s="138" t="s">
        <v>934</v>
      </c>
      <c r="H391" s="138" t="s">
        <v>934</v>
      </c>
      <c r="I391" s="129">
        <f>I392</f>
        <v>375</v>
      </c>
      <c r="J391" s="129">
        <f t="shared" ref="J391:L391" si="87">J392</f>
        <v>310.39999999999998</v>
      </c>
      <c r="K391" s="129">
        <f t="shared" si="87"/>
        <v>203</v>
      </c>
      <c r="L391" s="139">
        <f t="shared" si="87"/>
        <v>14</v>
      </c>
      <c r="M391" s="138" t="s">
        <v>934</v>
      </c>
      <c r="N391" s="138" t="s">
        <v>934</v>
      </c>
      <c r="O391" s="136" t="s">
        <v>934</v>
      </c>
      <c r="P391" s="130">
        <v>2727875.44</v>
      </c>
      <c r="Q391" s="130">
        <f t="shared" ref="Q391:S391" si="88">Q392</f>
        <v>0</v>
      </c>
      <c r="R391" s="130">
        <f t="shared" si="88"/>
        <v>0</v>
      </c>
      <c r="S391" s="130">
        <f t="shared" si="88"/>
        <v>2727875.44</v>
      </c>
      <c r="T391" s="130">
        <f t="shared" si="61"/>
        <v>7274.3345066666661</v>
      </c>
      <c r="U391" s="130">
        <f>U392</f>
        <v>12074.632853333334</v>
      </c>
    </row>
    <row r="392" spans="1:184" s="64" customFormat="1" ht="36" customHeight="1" x14ac:dyDescent="0.9">
      <c r="A392" s="64">
        <v>1</v>
      </c>
      <c r="B392" s="96">
        <f>SUBTOTAL(103,$A$16:A392)</f>
        <v>353</v>
      </c>
      <c r="C392" s="94" t="s">
        <v>122</v>
      </c>
      <c r="D392" s="138">
        <v>1966</v>
      </c>
      <c r="E392" s="138"/>
      <c r="F392" s="167" t="s">
        <v>273</v>
      </c>
      <c r="G392" s="138">
        <v>2</v>
      </c>
      <c r="H392" s="138">
        <v>1</v>
      </c>
      <c r="I392" s="130">
        <v>375</v>
      </c>
      <c r="J392" s="130">
        <v>310.39999999999998</v>
      </c>
      <c r="K392" s="130">
        <v>203</v>
      </c>
      <c r="L392" s="139">
        <v>14</v>
      </c>
      <c r="M392" s="138" t="s">
        <v>271</v>
      </c>
      <c r="N392" s="138" t="s">
        <v>272</v>
      </c>
      <c r="O392" s="136" t="s">
        <v>274</v>
      </c>
      <c r="P392" s="130">
        <v>2727875.44</v>
      </c>
      <c r="Q392" s="130">
        <v>0</v>
      </c>
      <c r="R392" s="130">
        <v>0</v>
      </c>
      <c r="S392" s="130">
        <f>P392-Q392-R392</f>
        <v>2727875.44</v>
      </c>
      <c r="T392" s="130">
        <f t="shared" si="61"/>
        <v>7274.3345066666661</v>
      </c>
      <c r="U392" s="130">
        <v>12074.632853333334</v>
      </c>
    </row>
    <row r="393" spans="1:184" s="64" customFormat="1" ht="36" customHeight="1" x14ac:dyDescent="0.9">
      <c r="B393" s="94" t="s">
        <v>876</v>
      </c>
      <c r="C393" s="94"/>
      <c r="D393" s="138" t="s">
        <v>934</v>
      </c>
      <c r="E393" s="138" t="s">
        <v>934</v>
      </c>
      <c r="F393" s="138" t="s">
        <v>934</v>
      </c>
      <c r="G393" s="138" t="s">
        <v>934</v>
      </c>
      <c r="H393" s="138" t="s">
        <v>934</v>
      </c>
      <c r="I393" s="129">
        <f>I394</f>
        <v>1156.21</v>
      </c>
      <c r="J393" s="129">
        <f t="shared" ref="J393:L393" si="89">J394</f>
        <v>880.01</v>
      </c>
      <c r="K393" s="129">
        <f t="shared" si="89"/>
        <v>880.01</v>
      </c>
      <c r="L393" s="139">
        <f t="shared" si="89"/>
        <v>34</v>
      </c>
      <c r="M393" s="138" t="s">
        <v>934</v>
      </c>
      <c r="N393" s="138" t="s">
        <v>934</v>
      </c>
      <c r="O393" s="136" t="s">
        <v>934</v>
      </c>
      <c r="P393" s="130">
        <v>3866903.76</v>
      </c>
      <c r="Q393" s="130">
        <f t="shared" ref="Q393:S393" si="90">Q394</f>
        <v>0</v>
      </c>
      <c r="R393" s="130">
        <f t="shared" si="90"/>
        <v>0</v>
      </c>
      <c r="S393" s="130">
        <f t="shared" si="90"/>
        <v>3866903.76</v>
      </c>
      <c r="T393" s="130">
        <f t="shared" si="61"/>
        <v>3344.4648982451281</v>
      </c>
      <c r="U393" s="130">
        <f>U394</f>
        <v>3562.2520505790467</v>
      </c>
    </row>
    <row r="394" spans="1:184" s="64" customFormat="1" ht="36" customHeight="1" x14ac:dyDescent="0.9">
      <c r="A394" s="64">
        <v>1</v>
      </c>
      <c r="B394" s="96">
        <f>SUBTOTAL(103,$A$16:A394)</f>
        <v>354</v>
      </c>
      <c r="C394" s="94" t="s">
        <v>123</v>
      </c>
      <c r="D394" s="138">
        <v>1990</v>
      </c>
      <c r="E394" s="138"/>
      <c r="F394" s="167" t="s">
        <v>273</v>
      </c>
      <c r="G394" s="138">
        <v>2</v>
      </c>
      <c r="H394" s="138">
        <v>3</v>
      </c>
      <c r="I394" s="130">
        <v>1156.21</v>
      </c>
      <c r="J394" s="130">
        <v>880.01</v>
      </c>
      <c r="K394" s="130">
        <v>880.01</v>
      </c>
      <c r="L394" s="139">
        <v>34</v>
      </c>
      <c r="M394" s="138" t="s">
        <v>271</v>
      </c>
      <c r="N394" s="138" t="s">
        <v>272</v>
      </c>
      <c r="O394" s="136" t="s">
        <v>274</v>
      </c>
      <c r="P394" s="130">
        <v>3866903.76</v>
      </c>
      <c r="Q394" s="130">
        <v>0</v>
      </c>
      <c r="R394" s="130">
        <v>0</v>
      </c>
      <c r="S394" s="130">
        <f>P394-Q394-R394</f>
        <v>3866903.76</v>
      </c>
      <c r="T394" s="130">
        <f t="shared" si="61"/>
        <v>3344.4648982451281</v>
      </c>
      <c r="U394" s="130">
        <v>3562.2520505790467</v>
      </c>
    </row>
    <row r="395" spans="1:184" s="64" customFormat="1" ht="36" customHeight="1" x14ac:dyDescent="0.9">
      <c r="B395" s="94" t="s">
        <v>877</v>
      </c>
      <c r="C395" s="126"/>
      <c r="D395" s="138" t="s">
        <v>934</v>
      </c>
      <c r="E395" s="138" t="s">
        <v>934</v>
      </c>
      <c r="F395" s="138" t="s">
        <v>934</v>
      </c>
      <c r="G395" s="138" t="s">
        <v>934</v>
      </c>
      <c r="H395" s="138" t="s">
        <v>934</v>
      </c>
      <c r="I395" s="129">
        <f>SUM(I396:I399)</f>
        <v>2599.7999999999997</v>
      </c>
      <c r="J395" s="129">
        <f t="shared" ref="J395:L395" si="91">SUM(J396:J399)</f>
        <v>2293.7000000000003</v>
      </c>
      <c r="K395" s="129">
        <f t="shared" si="91"/>
        <v>2259.4</v>
      </c>
      <c r="L395" s="139">
        <f t="shared" si="91"/>
        <v>115</v>
      </c>
      <c r="M395" s="138" t="s">
        <v>934</v>
      </c>
      <c r="N395" s="138" t="s">
        <v>934</v>
      </c>
      <c r="O395" s="136" t="s">
        <v>934</v>
      </c>
      <c r="P395" s="129">
        <v>11389569.279999999</v>
      </c>
      <c r="Q395" s="129">
        <f t="shared" ref="Q395:S395" si="92">SUM(Q396:Q399)</f>
        <v>0</v>
      </c>
      <c r="R395" s="129">
        <f t="shared" si="92"/>
        <v>0</v>
      </c>
      <c r="S395" s="129">
        <f t="shared" si="92"/>
        <v>11389569.279999999</v>
      </c>
      <c r="T395" s="130">
        <f t="shared" ref="T395:T457" si="93">P395/I395</f>
        <v>4380.9405646588202</v>
      </c>
      <c r="U395" s="130">
        <f>MAX(U396:U399)</f>
        <v>6042.0526341111372</v>
      </c>
    </row>
    <row r="396" spans="1:184" s="64" customFormat="1" ht="36" customHeight="1" x14ac:dyDescent="0.9">
      <c r="A396" s="64">
        <v>1</v>
      </c>
      <c r="B396" s="96">
        <f>SUBTOTAL(103,$A$16:A396)</f>
        <v>355</v>
      </c>
      <c r="C396" s="94" t="s">
        <v>174</v>
      </c>
      <c r="D396" s="138">
        <v>1957</v>
      </c>
      <c r="E396" s="138"/>
      <c r="F396" s="167" t="s">
        <v>273</v>
      </c>
      <c r="G396" s="138">
        <v>2</v>
      </c>
      <c r="H396" s="138">
        <v>2</v>
      </c>
      <c r="I396" s="130">
        <v>765.1</v>
      </c>
      <c r="J396" s="130">
        <v>686.7</v>
      </c>
      <c r="K396" s="130">
        <v>686.7</v>
      </c>
      <c r="L396" s="139">
        <v>26</v>
      </c>
      <c r="M396" s="138" t="s">
        <v>271</v>
      </c>
      <c r="N396" s="138" t="s">
        <v>345</v>
      </c>
      <c r="O396" s="136" t="s">
        <v>1064</v>
      </c>
      <c r="P396" s="130">
        <v>3297577.4</v>
      </c>
      <c r="Q396" s="130">
        <v>0</v>
      </c>
      <c r="R396" s="130">
        <v>0</v>
      </c>
      <c r="S396" s="130">
        <f t="shared" ref="S396:S398" si="94">P396-Q396-R396</f>
        <v>3297577.4</v>
      </c>
      <c r="T396" s="130">
        <f t="shared" si="93"/>
        <v>4309.9952947327147</v>
      </c>
      <c r="U396" s="130">
        <v>4543.3792968239441</v>
      </c>
    </row>
    <row r="397" spans="1:184" s="64" customFormat="1" ht="36" customHeight="1" x14ac:dyDescent="0.9">
      <c r="A397" s="64">
        <v>1</v>
      </c>
      <c r="B397" s="96">
        <f>SUBTOTAL(103,$A$16:A397)</f>
        <v>356</v>
      </c>
      <c r="C397" s="94" t="s">
        <v>175</v>
      </c>
      <c r="D397" s="138">
        <v>1957</v>
      </c>
      <c r="E397" s="138"/>
      <c r="F397" s="167" t="s">
        <v>273</v>
      </c>
      <c r="G397" s="138">
        <v>2</v>
      </c>
      <c r="H397" s="138">
        <v>2</v>
      </c>
      <c r="I397" s="130">
        <v>415.7</v>
      </c>
      <c r="J397" s="130">
        <v>368.1</v>
      </c>
      <c r="K397" s="130">
        <v>368.1</v>
      </c>
      <c r="L397" s="139">
        <v>23</v>
      </c>
      <c r="M397" s="138" t="s">
        <v>271</v>
      </c>
      <c r="N397" s="138" t="s">
        <v>345</v>
      </c>
      <c r="O397" s="136" t="s">
        <v>853</v>
      </c>
      <c r="P397" s="130">
        <v>2511681.2799999998</v>
      </c>
      <c r="Q397" s="130">
        <v>0</v>
      </c>
      <c r="R397" s="130">
        <v>0</v>
      </c>
      <c r="S397" s="130">
        <f t="shared" si="94"/>
        <v>2511681.2799999998</v>
      </c>
      <c r="T397" s="130">
        <f t="shared" si="93"/>
        <v>6042.0526341111372</v>
      </c>
      <c r="U397" s="130">
        <v>6042.0526341111372</v>
      </c>
    </row>
    <row r="398" spans="1:184" s="64" customFormat="1" ht="36" customHeight="1" x14ac:dyDescent="0.9">
      <c r="A398" s="64">
        <v>1</v>
      </c>
      <c r="B398" s="96">
        <f>SUBTOTAL(103,$A$16:A398)</f>
        <v>357</v>
      </c>
      <c r="C398" s="94" t="s">
        <v>173</v>
      </c>
      <c r="D398" s="138">
        <v>1983</v>
      </c>
      <c r="E398" s="138"/>
      <c r="F398" s="167" t="s">
        <v>273</v>
      </c>
      <c r="G398" s="138">
        <v>2</v>
      </c>
      <c r="H398" s="138">
        <v>3</v>
      </c>
      <c r="I398" s="130">
        <v>1093.4000000000001</v>
      </c>
      <c r="J398" s="130">
        <v>943.9</v>
      </c>
      <c r="K398" s="130">
        <v>943.9</v>
      </c>
      <c r="L398" s="139">
        <v>45</v>
      </c>
      <c r="M398" s="138" t="s">
        <v>271</v>
      </c>
      <c r="N398" s="138" t="s">
        <v>345</v>
      </c>
      <c r="O398" s="136" t="s">
        <v>853</v>
      </c>
      <c r="P398" s="130">
        <v>4462496.1199999992</v>
      </c>
      <c r="Q398" s="130">
        <v>0</v>
      </c>
      <c r="R398" s="130">
        <v>0</v>
      </c>
      <c r="S398" s="130">
        <f t="shared" si="94"/>
        <v>4462496.1199999992</v>
      </c>
      <c r="T398" s="130">
        <f t="shared" si="93"/>
        <v>4081.302469361623</v>
      </c>
      <c r="U398" s="130">
        <v>4125.8327236144132</v>
      </c>
    </row>
    <row r="399" spans="1:184" s="64" customFormat="1" ht="36" customHeight="1" x14ac:dyDescent="0.9">
      <c r="A399" s="64">
        <v>1</v>
      </c>
      <c r="B399" s="96">
        <f>SUBTOTAL(103,$A$16:A399)</f>
        <v>358</v>
      </c>
      <c r="C399" s="94" t="s">
        <v>1672</v>
      </c>
      <c r="D399" s="138">
        <v>1967</v>
      </c>
      <c r="E399" s="138"/>
      <c r="F399" s="167" t="s">
        <v>1674</v>
      </c>
      <c r="G399" s="138">
        <v>2</v>
      </c>
      <c r="H399" s="138">
        <v>1</v>
      </c>
      <c r="I399" s="130">
        <v>325.60000000000002</v>
      </c>
      <c r="J399" s="130">
        <v>295</v>
      </c>
      <c r="K399" s="130">
        <f>J399-34.3</f>
        <v>260.7</v>
      </c>
      <c r="L399" s="139">
        <v>21</v>
      </c>
      <c r="M399" s="138" t="s">
        <v>271</v>
      </c>
      <c r="N399" s="138" t="s">
        <v>345</v>
      </c>
      <c r="O399" s="136" t="s">
        <v>853</v>
      </c>
      <c r="P399" s="130">
        <v>1117814.48</v>
      </c>
      <c r="Q399" s="130">
        <v>0</v>
      </c>
      <c r="R399" s="130">
        <v>0</v>
      </c>
      <c r="S399" s="130">
        <f>P399-R399-Q399</f>
        <v>1117814.48</v>
      </c>
      <c r="T399" s="130">
        <f t="shared" si="93"/>
        <v>3433.0911547911546</v>
      </c>
      <c r="U399" s="130">
        <v>3433.0911547911546</v>
      </c>
    </row>
    <row r="400" spans="1:184" s="64" customFormat="1" ht="36" customHeight="1" x14ac:dyDescent="0.9">
      <c r="B400" s="94" t="s">
        <v>878</v>
      </c>
      <c r="C400" s="94"/>
      <c r="D400" s="138" t="s">
        <v>934</v>
      </c>
      <c r="E400" s="138" t="s">
        <v>934</v>
      </c>
      <c r="F400" s="138" t="s">
        <v>934</v>
      </c>
      <c r="G400" s="138" t="s">
        <v>934</v>
      </c>
      <c r="H400" s="138" t="s">
        <v>934</v>
      </c>
      <c r="I400" s="129">
        <f>SUM(I401:I402)</f>
        <v>1157</v>
      </c>
      <c r="J400" s="129">
        <f t="shared" ref="J400:L400" si="95">SUM(J401:J402)</f>
        <v>1036</v>
      </c>
      <c r="K400" s="129">
        <f t="shared" si="95"/>
        <v>991</v>
      </c>
      <c r="L400" s="139">
        <f t="shared" si="95"/>
        <v>49</v>
      </c>
      <c r="M400" s="138" t="s">
        <v>934</v>
      </c>
      <c r="N400" s="138" t="s">
        <v>934</v>
      </c>
      <c r="O400" s="136" t="s">
        <v>934</v>
      </c>
      <c r="P400" s="130">
        <v>4635021.79</v>
      </c>
      <c r="Q400" s="130">
        <f t="shared" ref="Q400:S400" si="96">Q401+Q402</f>
        <v>0</v>
      </c>
      <c r="R400" s="130">
        <f t="shared" si="96"/>
        <v>0</v>
      </c>
      <c r="S400" s="130">
        <f t="shared" si="96"/>
        <v>4635021.79</v>
      </c>
      <c r="T400" s="130">
        <f t="shared" si="93"/>
        <v>4006.0689628349178</v>
      </c>
      <c r="U400" s="130">
        <f>MAX(U401:U402)</f>
        <v>6032.2024122807015</v>
      </c>
    </row>
    <row r="401" spans="1:21" s="64" customFormat="1" ht="36" customHeight="1" x14ac:dyDescent="0.9">
      <c r="A401" s="64">
        <v>1</v>
      </c>
      <c r="B401" s="96">
        <f>SUBTOTAL(103,$A$16:A401)</f>
        <v>359</v>
      </c>
      <c r="C401" s="94" t="s">
        <v>172</v>
      </c>
      <c r="D401" s="138">
        <v>1956</v>
      </c>
      <c r="E401" s="138"/>
      <c r="F401" s="167" t="s">
        <v>273</v>
      </c>
      <c r="G401" s="138">
        <v>2</v>
      </c>
      <c r="H401" s="138">
        <v>2</v>
      </c>
      <c r="I401" s="130">
        <v>456</v>
      </c>
      <c r="J401" s="130">
        <v>399</v>
      </c>
      <c r="K401" s="130">
        <v>399</v>
      </c>
      <c r="L401" s="139">
        <v>16</v>
      </c>
      <c r="M401" s="138" t="s">
        <v>271</v>
      </c>
      <c r="N401" s="138" t="s">
        <v>345</v>
      </c>
      <c r="O401" s="136" t="s">
        <v>1065</v>
      </c>
      <c r="P401" s="130">
        <v>2330177.85</v>
      </c>
      <c r="Q401" s="130">
        <v>0</v>
      </c>
      <c r="R401" s="130">
        <v>0</v>
      </c>
      <c r="S401" s="130">
        <f t="shared" ref="S401:S402" si="97">P401-Q401-R401</f>
        <v>2330177.85</v>
      </c>
      <c r="T401" s="130">
        <f t="shared" si="93"/>
        <v>5110.039144736842</v>
      </c>
      <c r="U401" s="130">
        <v>6032.2024122807015</v>
      </c>
    </row>
    <row r="402" spans="1:21" s="64" customFormat="1" ht="36" customHeight="1" x14ac:dyDescent="0.9">
      <c r="A402" s="64">
        <v>1</v>
      </c>
      <c r="B402" s="96">
        <f>SUBTOTAL(103,$A$16:A402)</f>
        <v>360</v>
      </c>
      <c r="C402" s="94" t="s">
        <v>1302</v>
      </c>
      <c r="D402" s="138">
        <v>1960</v>
      </c>
      <c r="E402" s="138"/>
      <c r="F402" s="167" t="s">
        <v>273</v>
      </c>
      <c r="G402" s="138">
        <v>2</v>
      </c>
      <c r="H402" s="138">
        <v>2</v>
      </c>
      <c r="I402" s="130">
        <v>701</v>
      </c>
      <c r="J402" s="130">
        <v>637</v>
      </c>
      <c r="K402" s="130">
        <v>592</v>
      </c>
      <c r="L402" s="139">
        <v>33</v>
      </c>
      <c r="M402" s="138" t="s">
        <v>271</v>
      </c>
      <c r="N402" s="138" t="s">
        <v>275</v>
      </c>
      <c r="O402" s="136" t="s">
        <v>1065</v>
      </c>
      <c r="P402" s="130">
        <v>2304843.94</v>
      </c>
      <c r="Q402" s="130">
        <v>0</v>
      </c>
      <c r="R402" s="130">
        <v>0</v>
      </c>
      <c r="S402" s="130">
        <f t="shared" si="97"/>
        <v>2304843.94</v>
      </c>
      <c r="T402" s="130">
        <f t="shared" si="93"/>
        <v>3287.9371469329531</v>
      </c>
      <c r="U402" s="130">
        <v>3697.55</v>
      </c>
    </row>
    <row r="403" spans="1:21" s="64" customFormat="1" ht="36" customHeight="1" x14ac:dyDescent="0.9">
      <c r="B403" s="94" t="s">
        <v>880</v>
      </c>
      <c r="C403" s="94"/>
      <c r="D403" s="138" t="s">
        <v>934</v>
      </c>
      <c r="E403" s="138" t="s">
        <v>934</v>
      </c>
      <c r="F403" s="138" t="s">
        <v>934</v>
      </c>
      <c r="G403" s="138" t="s">
        <v>934</v>
      </c>
      <c r="H403" s="138" t="s">
        <v>934</v>
      </c>
      <c r="I403" s="129">
        <f>I404</f>
        <v>407.9</v>
      </c>
      <c r="J403" s="129">
        <f t="shared" ref="J403:L403" si="98">J404</f>
        <v>352.3</v>
      </c>
      <c r="K403" s="129">
        <f t="shared" si="98"/>
        <v>308.3</v>
      </c>
      <c r="L403" s="139">
        <f t="shared" si="98"/>
        <v>24</v>
      </c>
      <c r="M403" s="138" t="s">
        <v>934</v>
      </c>
      <c r="N403" s="138" t="s">
        <v>934</v>
      </c>
      <c r="O403" s="136" t="s">
        <v>934</v>
      </c>
      <c r="P403" s="130">
        <v>1547699.36</v>
      </c>
      <c r="Q403" s="130">
        <f t="shared" ref="Q403:S403" si="99">Q404</f>
        <v>0</v>
      </c>
      <c r="R403" s="130">
        <f t="shared" si="99"/>
        <v>0</v>
      </c>
      <c r="S403" s="130">
        <f t="shared" si="99"/>
        <v>1547699.36</v>
      </c>
      <c r="T403" s="130">
        <f t="shared" si="93"/>
        <v>3794.3107624417753</v>
      </c>
      <c r="U403" s="130">
        <f>U404</f>
        <v>4446.2809512135327</v>
      </c>
    </row>
    <row r="404" spans="1:21" s="64" customFormat="1" ht="36" customHeight="1" x14ac:dyDescent="0.9">
      <c r="A404" s="64">
        <v>1</v>
      </c>
      <c r="B404" s="96">
        <f>SUBTOTAL(103,$A$16:A404)</f>
        <v>361</v>
      </c>
      <c r="C404" s="94" t="s">
        <v>171</v>
      </c>
      <c r="D404" s="138">
        <v>1954</v>
      </c>
      <c r="E404" s="138"/>
      <c r="F404" s="167" t="s">
        <v>273</v>
      </c>
      <c r="G404" s="138">
        <v>2</v>
      </c>
      <c r="H404" s="138">
        <v>2</v>
      </c>
      <c r="I404" s="130">
        <v>407.9</v>
      </c>
      <c r="J404" s="130">
        <v>352.3</v>
      </c>
      <c r="K404" s="130">
        <v>308.3</v>
      </c>
      <c r="L404" s="139">
        <v>24</v>
      </c>
      <c r="M404" s="138" t="s">
        <v>271</v>
      </c>
      <c r="N404" s="138" t="s">
        <v>272</v>
      </c>
      <c r="O404" s="136" t="s">
        <v>274</v>
      </c>
      <c r="P404" s="130">
        <v>1547699.36</v>
      </c>
      <c r="Q404" s="130">
        <v>0</v>
      </c>
      <c r="R404" s="130">
        <v>0</v>
      </c>
      <c r="S404" s="130">
        <f>P404-Q404-R404</f>
        <v>1547699.36</v>
      </c>
      <c r="T404" s="130">
        <f t="shared" si="93"/>
        <v>3794.3107624417753</v>
      </c>
      <c r="U404" s="130">
        <v>4446.2809512135327</v>
      </c>
    </row>
    <row r="405" spans="1:21" s="64" customFormat="1" ht="36" customHeight="1" x14ac:dyDescent="0.9">
      <c r="B405" s="94" t="s">
        <v>879</v>
      </c>
      <c r="C405" s="94"/>
      <c r="D405" s="138" t="s">
        <v>934</v>
      </c>
      <c r="E405" s="138" t="s">
        <v>934</v>
      </c>
      <c r="F405" s="138" t="s">
        <v>934</v>
      </c>
      <c r="G405" s="138" t="s">
        <v>934</v>
      </c>
      <c r="H405" s="138" t="s">
        <v>934</v>
      </c>
      <c r="I405" s="129">
        <f>SUM(I406:I409)</f>
        <v>2141.5</v>
      </c>
      <c r="J405" s="129">
        <f t="shared" ref="J405:L405" si="100">SUM(J406:J409)</f>
        <v>1920.9</v>
      </c>
      <c r="K405" s="129">
        <f t="shared" si="100"/>
        <v>1381.6</v>
      </c>
      <c r="L405" s="139">
        <f t="shared" si="100"/>
        <v>79</v>
      </c>
      <c r="M405" s="138" t="s">
        <v>934</v>
      </c>
      <c r="N405" s="138" t="s">
        <v>934</v>
      </c>
      <c r="O405" s="136" t="s">
        <v>934</v>
      </c>
      <c r="P405" s="129">
        <v>7290181.6600000001</v>
      </c>
      <c r="Q405" s="129">
        <f t="shared" ref="Q405:S405" si="101">SUM(Q406:Q409)</f>
        <v>0</v>
      </c>
      <c r="R405" s="129">
        <f t="shared" si="101"/>
        <v>0</v>
      </c>
      <c r="S405" s="129">
        <f t="shared" si="101"/>
        <v>7290181.6600000001</v>
      </c>
      <c r="T405" s="130">
        <f t="shared" si="93"/>
        <v>3404.2407938360961</v>
      </c>
      <c r="U405" s="130">
        <f>MAX(U406:U409)</f>
        <v>7064.0869308056863</v>
      </c>
    </row>
    <row r="406" spans="1:21" s="64" customFormat="1" ht="36" customHeight="1" x14ac:dyDescent="0.9">
      <c r="A406" s="64">
        <v>1</v>
      </c>
      <c r="B406" s="96">
        <f>SUBTOTAL(103,$A$16:A406)</f>
        <v>362</v>
      </c>
      <c r="C406" s="94" t="s">
        <v>186</v>
      </c>
      <c r="D406" s="138">
        <v>1955</v>
      </c>
      <c r="E406" s="138"/>
      <c r="F406" s="167" t="s">
        <v>273</v>
      </c>
      <c r="G406" s="138">
        <v>2</v>
      </c>
      <c r="H406" s="138">
        <v>1</v>
      </c>
      <c r="I406" s="130">
        <v>545.6</v>
      </c>
      <c r="J406" s="130">
        <v>501.6</v>
      </c>
      <c r="K406" s="130">
        <v>384.3</v>
      </c>
      <c r="L406" s="139">
        <v>27</v>
      </c>
      <c r="M406" s="138" t="s">
        <v>271</v>
      </c>
      <c r="N406" s="138" t="s">
        <v>272</v>
      </c>
      <c r="O406" s="136" t="s">
        <v>274</v>
      </c>
      <c r="P406" s="130">
        <v>1659429.9100000001</v>
      </c>
      <c r="Q406" s="130">
        <v>0</v>
      </c>
      <c r="R406" s="130">
        <v>0</v>
      </c>
      <c r="S406" s="130">
        <f t="shared" ref="S406:S408" si="102">P406-Q406-R406</f>
        <v>1659429.9100000001</v>
      </c>
      <c r="T406" s="130">
        <f t="shared" si="93"/>
        <v>3041.4771077712612</v>
      </c>
      <c r="U406" s="130">
        <v>5312.0195894428143</v>
      </c>
    </row>
    <row r="407" spans="1:21" s="64" customFormat="1" ht="36" customHeight="1" x14ac:dyDescent="0.9">
      <c r="A407" s="64">
        <v>1</v>
      </c>
      <c r="B407" s="96">
        <f>SUBTOTAL(103,$A$16:A407)</f>
        <v>363</v>
      </c>
      <c r="C407" s="94" t="s">
        <v>1300</v>
      </c>
      <c r="D407" s="138">
        <v>1965</v>
      </c>
      <c r="E407" s="138"/>
      <c r="F407" s="167" t="s">
        <v>273</v>
      </c>
      <c r="G407" s="138">
        <v>2</v>
      </c>
      <c r="H407" s="138">
        <v>2</v>
      </c>
      <c r="I407" s="130">
        <v>527.5</v>
      </c>
      <c r="J407" s="130">
        <v>437.3</v>
      </c>
      <c r="K407" s="130">
        <v>292.89999999999998</v>
      </c>
      <c r="L407" s="139">
        <v>14</v>
      </c>
      <c r="M407" s="138" t="s">
        <v>271</v>
      </c>
      <c r="N407" s="138" t="s">
        <v>275</v>
      </c>
      <c r="O407" s="136" t="s">
        <v>1411</v>
      </c>
      <c r="P407" s="130">
        <v>1919023.42</v>
      </c>
      <c r="Q407" s="130">
        <v>0</v>
      </c>
      <c r="R407" s="130">
        <v>0</v>
      </c>
      <c r="S407" s="130">
        <f t="shared" si="102"/>
        <v>1919023.42</v>
      </c>
      <c r="T407" s="130">
        <f t="shared" si="93"/>
        <v>3637.9590900473931</v>
      </c>
      <c r="U407" s="130">
        <v>7064.0869308056863</v>
      </c>
    </row>
    <row r="408" spans="1:21" s="64" customFormat="1" ht="36" customHeight="1" x14ac:dyDescent="0.9">
      <c r="A408" s="64">
        <v>1</v>
      </c>
      <c r="B408" s="96">
        <f>SUBTOTAL(103,$A$16:A408)</f>
        <v>364</v>
      </c>
      <c r="C408" s="94" t="s">
        <v>1301</v>
      </c>
      <c r="D408" s="138">
        <v>1963</v>
      </c>
      <c r="E408" s="138"/>
      <c r="F408" s="167" t="s">
        <v>273</v>
      </c>
      <c r="G408" s="138">
        <v>2</v>
      </c>
      <c r="H408" s="138">
        <v>2</v>
      </c>
      <c r="I408" s="130">
        <v>662.7</v>
      </c>
      <c r="J408" s="130">
        <v>609.9</v>
      </c>
      <c r="K408" s="130">
        <v>419.4</v>
      </c>
      <c r="L408" s="139">
        <v>20</v>
      </c>
      <c r="M408" s="138" t="s">
        <v>271</v>
      </c>
      <c r="N408" s="138" t="s">
        <v>275</v>
      </c>
      <c r="O408" s="136" t="s">
        <v>1411</v>
      </c>
      <c r="P408" s="130">
        <v>2326738.3299999996</v>
      </c>
      <c r="Q408" s="130">
        <v>0</v>
      </c>
      <c r="R408" s="130">
        <v>0</v>
      </c>
      <c r="S408" s="130">
        <f t="shared" si="102"/>
        <v>2326738.3299999996</v>
      </c>
      <c r="T408" s="130">
        <f t="shared" si="93"/>
        <v>3510.9979326995617</v>
      </c>
      <c r="U408" s="130">
        <v>4883.2574890599062</v>
      </c>
    </row>
    <row r="409" spans="1:21" s="64" customFormat="1" ht="36" customHeight="1" x14ac:dyDescent="0.9">
      <c r="A409" s="64">
        <v>1</v>
      </c>
      <c r="B409" s="96">
        <f>SUBTOTAL(103,$A$16:A409)</f>
        <v>365</v>
      </c>
      <c r="C409" s="94" t="s">
        <v>1671</v>
      </c>
      <c r="D409" s="138">
        <v>1976</v>
      </c>
      <c r="E409" s="138"/>
      <c r="F409" s="167" t="s">
        <v>1674</v>
      </c>
      <c r="G409" s="138">
        <v>2</v>
      </c>
      <c r="H409" s="138">
        <v>1</v>
      </c>
      <c r="I409" s="130">
        <v>405.7</v>
      </c>
      <c r="J409" s="130">
        <v>372.1</v>
      </c>
      <c r="K409" s="130">
        <f>J409-87.1</f>
        <v>285</v>
      </c>
      <c r="L409" s="139">
        <v>18</v>
      </c>
      <c r="M409" s="138" t="s">
        <v>271</v>
      </c>
      <c r="N409" s="138" t="s">
        <v>272</v>
      </c>
      <c r="O409" s="136" t="s">
        <v>274</v>
      </c>
      <c r="P409" s="130">
        <v>1384990</v>
      </c>
      <c r="Q409" s="130">
        <v>0</v>
      </c>
      <c r="R409" s="130">
        <v>0</v>
      </c>
      <c r="S409" s="130">
        <f>P409-R409-Q409</f>
        <v>1384990</v>
      </c>
      <c r="T409" s="130">
        <f t="shared" si="93"/>
        <v>3413.82795168844</v>
      </c>
      <c r="U409" s="130">
        <v>3413.82795168844</v>
      </c>
    </row>
    <row r="410" spans="1:21" s="64" customFormat="1" ht="36" customHeight="1" x14ac:dyDescent="0.9">
      <c r="B410" s="94" t="s">
        <v>914</v>
      </c>
      <c r="C410" s="94"/>
      <c r="D410" s="138" t="s">
        <v>934</v>
      </c>
      <c r="E410" s="138" t="s">
        <v>934</v>
      </c>
      <c r="F410" s="138" t="s">
        <v>934</v>
      </c>
      <c r="G410" s="138" t="s">
        <v>934</v>
      </c>
      <c r="H410" s="138" t="s">
        <v>934</v>
      </c>
      <c r="I410" s="129">
        <f>I411</f>
        <v>829.4</v>
      </c>
      <c r="J410" s="129">
        <f t="shared" ref="J410:L410" si="103">J411</f>
        <v>758.4</v>
      </c>
      <c r="K410" s="129">
        <f t="shared" si="103"/>
        <v>671.6</v>
      </c>
      <c r="L410" s="139">
        <f t="shared" si="103"/>
        <v>24</v>
      </c>
      <c r="M410" s="138" t="s">
        <v>934</v>
      </c>
      <c r="N410" s="138" t="s">
        <v>934</v>
      </c>
      <c r="O410" s="136" t="s">
        <v>934</v>
      </c>
      <c r="P410" s="130">
        <v>3230853.85</v>
      </c>
      <c r="Q410" s="130">
        <f t="shared" ref="Q410:S410" si="104">Q411</f>
        <v>0</v>
      </c>
      <c r="R410" s="130">
        <f t="shared" si="104"/>
        <v>0</v>
      </c>
      <c r="S410" s="130">
        <f t="shared" si="104"/>
        <v>3230853.85</v>
      </c>
      <c r="T410" s="130">
        <f t="shared" si="93"/>
        <v>3895.4109597299253</v>
      </c>
      <c r="U410" s="130">
        <f>U411</f>
        <v>6088.8166269592475</v>
      </c>
    </row>
    <row r="411" spans="1:21" s="64" customFormat="1" ht="36" customHeight="1" x14ac:dyDescent="0.9">
      <c r="A411" s="64">
        <v>1</v>
      </c>
      <c r="B411" s="96">
        <f>SUBTOTAL(103,$A$16:A411)</f>
        <v>366</v>
      </c>
      <c r="C411" s="94" t="s">
        <v>1303</v>
      </c>
      <c r="D411" s="138">
        <v>1972</v>
      </c>
      <c r="E411" s="138">
        <v>2010</v>
      </c>
      <c r="F411" s="167" t="s">
        <v>273</v>
      </c>
      <c r="G411" s="138">
        <v>2</v>
      </c>
      <c r="H411" s="138">
        <v>2</v>
      </c>
      <c r="I411" s="130">
        <v>829.4</v>
      </c>
      <c r="J411" s="130">
        <v>758.4</v>
      </c>
      <c r="K411" s="130">
        <v>671.6</v>
      </c>
      <c r="L411" s="139">
        <v>24</v>
      </c>
      <c r="M411" s="138" t="s">
        <v>271</v>
      </c>
      <c r="N411" s="138" t="s">
        <v>275</v>
      </c>
      <c r="O411" s="136" t="s">
        <v>853</v>
      </c>
      <c r="P411" s="130">
        <v>3230853.85</v>
      </c>
      <c r="Q411" s="130">
        <v>0</v>
      </c>
      <c r="R411" s="130">
        <v>0</v>
      </c>
      <c r="S411" s="130">
        <f>P411-Q411-R411</f>
        <v>3230853.85</v>
      </c>
      <c r="T411" s="130">
        <f t="shared" si="93"/>
        <v>3895.4109597299253</v>
      </c>
      <c r="U411" s="130">
        <v>6088.8166269592475</v>
      </c>
    </row>
    <row r="412" spans="1:21" s="64" customFormat="1" ht="36" customHeight="1" x14ac:dyDescent="0.9">
      <c r="B412" s="94" t="s">
        <v>881</v>
      </c>
      <c r="C412" s="126"/>
      <c r="D412" s="138" t="s">
        <v>934</v>
      </c>
      <c r="E412" s="138" t="s">
        <v>934</v>
      </c>
      <c r="F412" s="138" t="s">
        <v>934</v>
      </c>
      <c r="G412" s="138" t="s">
        <v>934</v>
      </c>
      <c r="H412" s="138" t="s">
        <v>934</v>
      </c>
      <c r="I412" s="129">
        <f>SUM(I413:I418)</f>
        <v>14750.5</v>
      </c>
      <c r="J412" s="129">
        <f>SUM(J413:J418)</f>
        <v>11094</v>
      </c>
      <c r="K412" s="129">
        <f>SUM(K413:K418)</f>
        <v>10041</v>
      </c>
      <c r="L412" s="139">
        <f>SUM(L413:L418)</f>
        <v>473</v>
      </c>
      <c r="M412" s="138" t="s">
        <v>934</v>
      </c>
      <c r="N412" s="138" t="s">
        <v>934</v>
      </c>
      <c r="O412" s="136" t="s">
        <v>934</v>
      </c>
      <c r="P412" s="130">
        <v>22440468.149999999</v>
      </c>
      <c r="Q412" s="130">
        <f>SUM(Q413:Q418)</f>
        <v>0</v>
      </c>
      <c r="R412" s="130">
        <f>SUM(R413:R418)</f>
        <v>0</v>
      </c>
      <c r="S412" s="130">
        <f>SUM(S413:S418)</f>
        <v>22440468.149999999</v>
      </c>
      <c r="T412" s="130">
        <f t="shared" si="93"/>
        <v>1521.3361004711703</v>
      </c>
      <c r="U412" s="130">
        <f>MAX(U413:U418)</f>
        <v>5766.7344992050876</v>
      </c>
    </row>
    <row r="413" spans="1:21" s="64" customFormat="1" ht="36" customHeight="1" x14ac:dyDescent="0.9">
      <c r="A413" s="64">
        <v>1</v>
      </c>
      <c r="B413" s="96">
        <f>SUBTOTAL(103,$A$16:A413)</f>
        <v>367</v>
      </c>
      <c r="C413" s="94" t="s">
        <v>75</v>
      </c>
      <c r="D413" s="138">
        <v>1950</v>
      </c>
      <c r="E413" s="138"/>
      <c r="F413" s="167" t="s">
        <v>273</v>
      </c>
      <c r="G413" s="138">
        <v>3</v>
      </c>
      <c r="H413" s="138">
        <v>2</v>
      </c>
      <c r="I413" s="130">
        <v>871.6</v>
      </c>
      <c r="J413" s="130">
        <v>765</v>
      </c>
      <c r="K413" s="130">
        <v>743</v>
      </c>
      <c r="L413" s="139">
        <v>25</v>
      </c>
      <c r="M413" s="138" t="s">
        <v>271</v>
      </c>
      <c r="N413" s="138" t="s">
        <v>275</v>
      </c>
      <c r="O413" s="136" t="s">
        <v>282</v>
      </c>
      <c r="P413" s="130">
        <v>3581561.29</v>
      </c>
      <c r="Q413" s="130">
        <v>0</v>
      </c>
      <c r="R413" s="130">
        <v>0</v>
      </c>
      <c r="S413" s="130">
        <f t="shared" ref="S413:S418" si="105">P413-Q413-R413</f>
        <v>3581561.29</v>
      </c>
      <c r="T413" s="130">
        <f t="shared" si="93"/>
        <v>4109.1800022946309</v>
      </c>
      <c r="U413" s="130">
        <v>4335.0304038549793</v>
      </c>
    </row>
    <row r="414" spans="1:21" s="64" customFormat="1" ht="36" customHeight="1" x14ac:dyDescent="0.9">
      <c r="A414" s="64">
        <v>1</v>
      </c>
      <c r="B414" s="96">
        <f>SUBTOTAL(103,$A$16:A414)</f>
        <v>368</v>
      </c>
      <c r="C414" s="94" t="s">
        <v>74</v>
      </c>
      <c r="D414" s="138">
        <v>1963</v>
      </c>
      <c r="E414" s="138"/>
      <c r="F414" s="167" t="s">
        <v>273</v>
      </c>
      <c r="G414" s="138">
        <v>4</v>
      </c>
      <c r="H414" s="138">
        <v>2</v>
      </c>
      <c r="I414" s="130">
        <v>1600.4</v>
      </c>
      <c r="J414" s="130">
        <v>1222</v>
      </c>
      <c r="K414" s="130">
        <v>1222</v>
      </c>
      <c r="L414" s="139">
        <v>54</v>
      </c>
      <c r="M414" s="138" t="s">
        <v>271</v>
      </c>
      <c r="N414" s="138" t="s">
        <v>275</v>
      </c>
      <c r="O414" s="136" t="s">
        <v>283</v>
      </c>
      <c r="P414" s="130">
        <v>3148625.32</v>
      </c>
      <c r="Q414" s="130">
        <v>0</v>
      </c>
      <c r="R414" s="130">
        <v>0</v>
      </c>
      <c r="S414" s="130">
        <f t="shared" si="105"/>
        <v>3148625.32</v>
      </c>
      <c r="T414" s="130">
        <f t="shared" si="93"/>
        <v>1967.3989752561858</v>
      </c>
      <c r="U414" s="130">
        <v>1967.3989752561858</v>
      </c>
    </row>
    <row r="415" spans="1:21" s="64" customFormat="1" ht="36" customHeight="1" x14ac:dyDescent="0.9">
      <c r="A415" s="64">
        <v>1</v>
      </c>
      <c r="B415" s="96">
        <f>SUBTOTAL(103,$A$16:A415)</f>
        <v>369</v>
      </c>
      <c r="C415" s="94" t="s">
        <v>76</v>
      </c>
      <c r="D415" s="138">
        <v>1948</v>
      </c>
      <c r="E415" s="138"/>
      <c r="F415" s="167" t="s">
        <v>273</v>
      </c>
      <c r="G415" s="138">
        <v>4</v>
      </c>
      <c r="H415" s="138">
        <v>3</v>
      </c>
      <c r="I415" s="130">
        <v>1954.5</v>
      </c>
      <c r="J415" s="130">
        <v>1574</v>
      </c>
      <c r="K415" s="130">
        <v>1540</v>
      </c>
      <c r="L415" s="139">
        <v>58</v>
      </c>
      <c r="M415" s="138" t="s">
        <v>271</v>
      </c>
      <c r="N415" s="138" t="s">
        <v>275</v>
      </c>
      <c r="O415" s="136" t="s">
        <v>284</v>
      </c>
      <c r="P415" s="130">
        <v>5571953.8200000003</v>
      </c>
      <c r="Q415" s="130">
        <v>0</v>
      </c>
      <c r="R415" s="130">
        <v>0</v>
      </c>
      <c r="S415" s="130">
        <f t="shared" si="105"/>
        <v>5571953.8200000003</v>
      </c>
      <c r="T415" s="130">
        <f t="shared" si="93"/>
        <v>2850.8333691481198</v>
      </c>
      <c r="U415" s="130">
        <v>2950.8154719877207</v>
      </c>
    </row>
    <row r="416" spans="1:21" s="64" customFormat="1" ht="36" customHeight="1" x14ac:dyDescent="0.9">
      <c r="A416" s="64">
        <v>1</v>
      </c>
      <c r="B416" s="96">
        <f>SUBTOTAL(103,$A$16:A416)</f>
        <v>370</v>
      </c>
      <c r="C416" s="94" t="s">
        <v>1304</v>
      </c>
      <c r="D416" s="138">
        <v>1957</v>
      </c>
      <c r="E416" s="138"/>
      <c r="F416" s="167" t="s">
        <v>273</v>
      </c>
      <c r="G416" s="138">
        <v>4</v>
      </c>
      <c r="H416" s="138">
        <v>4</v>
      </c>
      <c r="I416" s="130">
        <v>5025</v>
      </c>
      <c r="J416" s="130">
        <v>3440</v>
      </c>
      <c r="K416" s="130">
        <v>3207</v>
      </c>
      <c r="L416" s="139">
        <v>113</v>
      </c>
      <c r="M416" s="138" t="s">
        <v>271</v>
      </c>
      <c r="N416" s="138" t="s">
        <v>275</v>
      </c>
      <c r="O416" s="136" t="s">
        <v>283</v>
      </c>
      <c r="P416" s="130">
        <v>3582068.9</v>
      </c>
      <c r="Q416" s="130">
        <v>0</v>
      </c>
      <c r="R416" s="130">
        <v>0</v>
      </c>
      <c r="S416" s="130">
        <f t="shared" si="105"/>
        <v>3582068.9</v>
      </c>
      <c r="T416" s="130">
        <f t="shared" si="93"/>
        <v>712.84953233830845</v>
      </c>
      <c r="U416" s="130">
        <v>3080.1800000000003</v>
      </c>
    </row>
    <row r="417" spans="1:21" s="64" customFormat="1" ht="36" customHeight="1" x14ac:dyDescent="0.9">
      <c r="A417" s="64">
        <v>1</v>
      </c>
      <c r="B417" s="96">
        <f>SUBTOTAL(103,$A$16:A417)</f>
        <v>371</v>
      </c>
      <c r="C417" s="94" t="s">
        <v>1305</v>
      </c>
      <c r="D417" s="138">
        <v>1974</v>
      </c>
      <c r="E417" s="138"/>
      <c r="F417" s="167" t="s">
        <v>273</v>
      </c>
      <c r="G417" s="138">
        <v>5</v>
      </c>
      <c r="H417" s="138">
        <v>2</v>
      </c>
      <c r="I417" s="130">
        <v>4670</v>
      </c>
      <c r="J417" s="130">
        <v>3641</v>
      </c>
      <c r="K417" s="130">
        <v>2877</v>
      </c>
      <c r="L417" s="139">
        <v>192</v>
      </c>
      <c r="M417" s="138" t="s">
        <v>271</v>
      </c>
      <c r="N417" s="138" t="s">
        <v>275</v>
      </c>
      <c r="O417" s="136" t="s">
        <v>1410</v>
      </c>
      <c r="P417" s="130">
        <v>4162144.7199999997</v>
      </c>
      <c r="Q417" s="130">
        <v>0</v>
      </c>
      <c r="R417" s="130">
        <v>0</v>
      </c>
      <c r="S417" s="130">
        <f t="shared" si="105"/>
        <v>4162144.7199999997</v>
      </c>
      <c r="T417" s="130">
        <f t="shared" si="93"/>
        <v>891.25154603854389</v>
      </c>
      <c r="U417" s="130">
        <v>1339.839635974304</v>
      </c>
    </row>
    <row r="418" spans="1:21" s="64" customFormat="1" ht="36" customHeight="1" x14ac:dyDescent="0.9">
      <c r="A418" s="64">
        <v>1</v>
      </c>
      <c r="B418" s="96">
        <f>SUBTOTAL(103,$A$16:A418)</f>
        <v>372</v>
      </c>
      <c r="C418" s="94" t="s">
        <v>1306</v>
      </c>
      <c r="D418" s="138">
        <v>1955</v>
      </c>
      <c r="E418" s="138"/>
      <c r="F418" s="167" t="s">
        <v>273</v>
      </c>
      <c r="G418" s="138">
        <v>2</v>
      </c>
      <c r="H418" s="138">
        <v>2</v>
      </c>
      <c r="I418" s="130">
        <v>629</v>
      </c>
      <c r="J418" s="130">
        <v>452</v>
      </c>
      <c r="K418" s="130">
        <v>452</v>
      </c>
      <c r="L418" s="139">
        <v>31</v>
      </c>
      <c r="M418" s="138" t="s">
        <v>271</v>
      </c>
      <c r="N418" s="138" t="s">
        <v>275</v>
      </c>
      <c r="O418" s="136" t="s">
        <v>1377</v>
      </c>
      <c r="P418" s="130">
        <v>2394114.0999999996</v>
      </c>
      <c r="Q418" s="130">
        <v>0</v>
      </c>
      <c r="R418" s="130">
        <v>0</v>
      </c>
      <c r="S418" s="130">
        <f t="shared" si="105"/>
        <v>2394114.0999999996</v>
      </c>
      <c r="T418" s="130">
        <f t="shared" si="93"/>
        <v>3806.2227344992043</v>
      </c>
      <c r="U418" s="130">
        <v>5766.7344992050876</v>
      </c>
    </row>
    <row r="419" spans="1:21" s="64" customFormat="1" ht="36" customHeight="1" x14ac:dyDescent="0.9">
      <c r="B419" s="94" t="s">
        <v>882</v>
      </c>
      <c r="C419" s="94"/>
      <c r="D419" s="138" t="s">
        <v>934</v>
      </c>
      <c r="E419" s="138" t="s">
        <v>934</v>
      </c>
      <c r="F419" s="138" t="s">
        <v>934</v>
      </c>
      <c r="G419" s="138" t="s">
        <v>934</v>
      </c>
      <c r="H419" s="138" t="s">
        <v>934</v>
      </c>
      <c r="I419" s="129">
        <f>I420</f>
        <v>613</v>
      </c>
      <c r="J419" s="129">
        <f t="shared" ref="J419:L419" si="106">J420</f>
        <v>613</v>
      </c>
      <c r="K419" s="129">
        <f t="shared" si="106"/>
        <v>571.70000000000005</v>
      </c>
      <c r="L419" s="139">
        <f t="shared" si="106"/>
        <v>33</v>
      </c>
      <c r="M419" s="138" t="s">
        <v>934</v>
      </c>
      <c r="N419" s="138" t="s">
        <v>934</v>
      </c>
      <c r="O419" s="136" t="s">
        <v>934</v>
      </c>
      <c r="P419" s="130">
        <v>3182125.2199999997</v>
      </c>
      <c r="Q419" s="130">
        <f t="shared" ref="Q419:S419" si="107">Q420</f>
        <v>0</v>
      </c>
      <c r="R419" s="130">
        <f t="shared" si="107"/>
        <v>0</v>
      </c>
      <c r="S419" s="130">
        <f t="shared" si="107"/>
        <v>3182125.2199999997</v>
      </c>
      <c r="T419" s="130">
        <f t="shared" si="93"/>
        <v>5191.0688743882538</v>
      </c>
      <c r="U419" s="130">
        <f>U420</f>
        <v>5897.5286786296901</v>
      </c>
    </row>
    <row r="420" spans="1:21" s="64" customFormat="1" ht="36" customHeight="1" x14ac:dyDescent="0.9">
      <c r="A420" s="64">
        <v>1</v>
      </c>
      <c r="B420" s="96">
        <f>SUBTOTAL(103,$A$16:A420)</f>
        <v>373</v>
      </c>
      <c r="C420" s="94" t="s">
        <v>77</v>
      </c>
      <c r="D420" s="138">
        <v>1966</v>
      </c>
      <c r="E420" s="138"/>
      <c r="F420" s="167" t="s">
        <v>273</v>
      </c>
      <c r="G420" s="138">
        <v>2</v>
      </c>
      <c r="H420" s="138">
        <v>2</v>
      </c>
      <c r="I420" s="130">
        <v>613</v>
      </c>
      <c r="J420" s="130">
        <v>613</v>
      </c>
      <c r="K420" s="130">
        <v>571.70000000000005</v>
      </c>
      <c r="L420" s="139">
        <v>33</v>
      </c>
      <c r="M420" s="138" t="s">
        <v>271</v>
      </c>
      <c r="N420" s="138" t="s">
        <v>272</v>
      </c>
      <c r="O420" s="136" t="s">
        <v>274</v>
      </c>
      <c r="P420" s="130">
        <v>3182125.2199999997</v>
      </c>
      <c r="Q420" s="130">
        <v>0</v>
      </c>
      <c r="R420" s="130">
        <v>0</v>
      </c>
      <c r="S420" s="130">
        <f>P420-Q420-R420</f>
        <v>3182125.2199999997</v>
      </c>
      <c r="T420" s="130">
        <f t="shared" si="93"/>
        <v>5191.0688743882538</v>
      </c>
      <c r="U420" s="130">
        <v>5897.5286786296901</v>
      </c>
    </row>
    <row r="421" spans="1:21" s="64" customFormat="1" ht="36" customHeight="1" x14ac:dyDescent="0.9">
      <c r="B421" s="94" t="s">
        <v>915</v>
      </c>
      <c r="C421" s="94"/>
      <c r="D421" s="138" t="s">
        <v>934</v>
      </c>
      <c r="E421" s="138" t="s">
        <v>934</v>
      </c>
      <c r="F421" s="138" t="s">
        <v>934</v>
      </c>
      <c r="G421" s="138" t="s">
        <v>934</v>
      </c>
      <c r="H421" s="138" t="s">
        <v>934</v>
      </c>
      <c r="I421" s="129">
        <f>I422</f>
        <v>320</v>
      </c>
      <c r="J421" s="129">
        <f t="shared" ref="J421:L421" si="108">J422</f>
        <v>311</v>
      </c>
      <c r="K421" s="129">
        <f t="shared" si="108"/>
        <v>311</v>
      </c>
      <c r="L421" s="139">
        <f t="shared" si="108"/>
        <v>21</v>
      </c>
      <c r="M421" s="138" t="s">
        <v>934</v>
      </c>
      <c r="N421" s="138" t="s">
        <v>934</v>
      </c>
      <c r="O421" s="136" t="s">
        <v>934</v>
      </c>
      <c r="P421" s="130">
        <v>522383.64</v>
      </c>
      <c r="Q421" s="130">
        <f t="shared" ref="Q421:S421" si="109">Q422</f>
        <v>0</v>
      </c>
      <c r="R421" s="130">
        <f t="shared" si="109"/>
        <v>0</v>
      </c>
      <c r="S421" s="130">
        <f t="shared" si="109"/>
        <v>522383.64</v>
      </c>
      <c r="T421" s="130">
        <f t="shared" si="93"/>
        <v>1632.448875</v>
      </c>
      <c r="U421" s="130">
        <f>U422</f>
        <v>1632.448875</v>
      </c>
    </row>
    <row r="422" spans="1:21" s="64" customFormat="1" ht="36" customHeight="1" x14ac:dyDescent="0.9">
      <c r="A422" s="64">
        <v>1</v>
      </c>
      <c r="B422" s="96">
        <f>SUBTOTAL(103,$A$16:A422)</f>
        <v>374</v>
      </c>
      <c r="C422" s="94" t="s">
        <v>1307</v>
      </c>
      <c r="D422" s="138">
        <v>1962</v>
      </c>
      <c r="E422" s="138"/>
      <c r="F422" s="167" t="s">
        <v>273</v>
      </c>
      <c r="G422" s="138">
        <v>2</v>
      </c>
      <c r="H422" s="138">
        <v>1</v>
      </c>
      <c r="I422" s="130">
        <v>320</v>
      </c>
      <c r="J422" s="130">
        <v>311</v>
      </c>
      <c r="K422" s="130">
        <v>311</v>
      </c>
      <c r="L422" s="139">
        <v>21</v>
      </c>
      <c r="M422" s="138" t="s">
        <v>271</v>
      </c>
      <c r="N422" s="138" t="s">
        <v>275</v>
      </c>
      <c r="O422" s="136" t="s">
        <v>1378</v>
      </c>
      <c r="P422" s="130">
        <v>522383.64</v>
      </c>
      <c r="Q422" s="130">
        <v>0</v>
      </c>
      <c r="R422" s="130">
        <v>0</v>
      </c>
      <c r="S422" s="130">
        <f>P422-Q422-R422</f>
        <v>522383.64</v>
      </c>
      <c r="T422" s="130">
        <f t="shared" si="93"/>
        <v>1632.448875</v>
      </c>
      <c r="U422" s="130">
        <v>1632.448875</v>
      </c>
    </row>
    <row r="423" spans="1:21" s="64" customFormat="1" ht="36" customHeight="1" x14ac:dyDescent="0.9">
      <c r="B423" s="94" t="s">
        <v>883</v>
      </c>
      <c r="C423" s="126"/>
      <c r="D423" s="138" t="s">
        <v>934</v>
      </c>
      <c r="E423" s="138" t="s">
        <v>934</v>
      </c>
      <c r="F423" s="138" t="s">
        <v>934</v>
      </c>
      <c r="G423" s="138" t="s">
        <v>934</v>
      </c>
      <c r="H423" s="138" t="s">
        <v>934</v>
      </c>
      <c r="I423" s="129">
        <f>SUM(I424:I428)</f>
        <v>6463.98</v>
      </c>
      <c r="J423" s="129">
        <f>SUM(J424:J428)</f>
        <v>5846.45</v>
      </c>
      <c r="K423" s="129">
        <f>SUM(K424:K428)</f>
        <v>5322.1500000000005</v>
      </c>
      <c r="L423" s="139">
        <f>SUM(L424:L428)</f>
        <v>243</v>
      </c>
      <c r="M423" s="138" t="s">
        <v>934</v>
      </c>
      <c r="N423" s="138" t="s">
        <v>934</v>
      </c>
      <c r="O423" s="136" t="s">
        <v>934</v>
      </c>
      <c r="P423" s="129">
        <v>18514841.960000001</v>
      </c>
      <c r="Q423" s="129">
        <f>SUM(Q424:Q428)</f>
        <v>0</v>
      </c>
      <c r="R423" s="129">
        <f>SUM(R424:R428)</f>
        <v>0</v>
      </c>
      <c r="S423" s="129">
        <f>SUM(S424:S428)</f>
        <v>18514841.960000001</v>
      </c>
      <c r="T423" s="130">
        <f t="shared" si="93"/>
        <v>2864.3099081370924</v>
      </c>
      <c r="U423" s="130">
        <f>MAX(U424:U428)</f>
        <v>5620.9080943875151</v>
      </c>
    </row>
    <row r="424" spans="1:21" s="64" customFormat="1" ht="36" customHeight="1" x14ac:dyDescent="0.9">
      <c r="A424" s="64">
        <v>1</v>
      </c>
      <c r="B424" s="96">
        <f>SUBTOTAL(103,$A$16:A424)</f>
        <v>375</v>
      </c>
      <c r="C424" s="94" t="s">
        <v>108</v>
      </c>
      <c r="D424" s="138">
        <v>1961</v>
      </c>
      <c r="E424" s="138"/>
      <c r="F424" s="167" t="s">
        <v>273</v>
      </c>
      <c r="G424" s="138">
        <v>3</v>
      </c>
      <c r="H424" s="138">
        <v>2</v>
      </c>
      <c r="I424" s="130">
        <v>1048.3800000000001</v>
      </c>
      <c r="J424" s="130">
        <v>975.35</v>
      </c>
      <c r="K424" s="130">
        <v>930.75</v>
      </c>
      <c r="L424" s="139">
        <v>50</v>
      </c>
      <c r="M424" s="138" t="s">
        <v>271</v>
      </c>
      <c r="N424" s="138" t="s">
        <v>275</v>
      </c>
      <c r="O424" s="136" t="s">
        <v>1152</v>
      </c>
      <c r="P424" s="130">
        <v>2621954.33</v>
      </c>
      <c r="Q424" s="130">
        <v>0</v>
      </c>
      <c r="R424" s="130">
        <v>0</v>
      </c>
      <c r="S424" s="130">
        <f t="shared" ref="S424:S428" si="110">P424-Q424-R424</f>
        <v>2621954.33</v>
      </c>
      <c r="T424" s="130">
        <f t="shared" si="93"/>
        <v>2500.9579827924986</v>
      </c>
      <c r="U424" s="130">
        <v>3439.1273622159902</v>
      </c>
    </row>
    <row r="425" spans="1:21" s="64" customFormat="1" ht="36" customHeight="1" x14ac:dyDescent="0.9">
      <c r="A425" s="64">
        <v>1</v>
      </c>
      <c r="B425" s="96">
        <f>SUBTOTAL(103,$A$16:A425)</f>
        <v>376</v>
      </c>
      <c r="C425" s="94" t="s">
        <v>110</v>
      </c>
      <c r="D425" s="138">
        <v>1977</v>
      </c>
      <c r="E425" s="138"/>
      <c r="F425" s="167" t="s">
        <v>273</v>
      </c>
      <c r="G425" s="138">
        <v>2</v>
      </c>
      <c r="H425" s="138">
        <v>3</v>
      </c>
      <c r="I425" s="130">
        <v>1063.7</v>
      </c>
      <c r="J425" s="130">
        <v>983.3</v>
      </c>
      <c r="K425" s="130">
        <v>887.9</v>
      </c>
      <c r="L425" s="139">
        <v>32</v>
      </c>
      <c r="M425" s="138" t="s">
        <v>271</v>
      </c>
      <c r="N425" s="138" t="s">
        <v>272</v>
      </c>
      <c r="O425" s="136" t="s">
        <v>274</v>
      </c>
      <c r="P425" s="130">
        <v>5119245.6399999997</v>
      </c>
      <c r="Q425" s="130">
        <v>0</v>
      </c>
      <c r="R425" s="130">
        <v>0</v>
      </c>
      <c r="S425" s="130">
        <f t="shared" si="110"/>
        <v>5119245.6399999997</v>
      </c>
      <c r="T425" s="130">
        <f t="shared" si="93"/>
        <v>4812.6780483218945</v>
      </c>
      <c r="U425" s="130">
        <v>5620.9080943875151</v>
      </c>
    </row>
    <row r="426" spans="1:21" s="64" customFormat="1" ht="36" customHeight="1" x14ac:dyDescent="0.9">
      <c r="A426" s="64">
        <v>1</v>
      </c>
      <c r="B426" s="96">
        <f>SUBTOTAL(103,$A$16:A426)</f>
        <v>377</v>
      </c>
      <c r="C426" s="94" t="s">
        <v>1308</v>
      </c>
      <c r="D426" s="138">
        <v>1934</v>
      </c>
      <c r="E426" s="138"/>
      <c r="F426" s="167" t="s">
        <v>273</v>
      </c>
      <c r="G426" s="138">
        <v>2</v>
      </c>
      <c r="H426" s="138">
        <v>3</v>
      </c>
      <c r="I426" s="130">
        <v>987.5</v>
      </c>
      <c r="J426" s="130">
        <v>874</v>
      </c>
      <c r="K426" s="130">
        <v>837.7</v>
      </c>
      <c r="L426" s="139">
        <v>26</v>
      </c>
      <c r="M426" s="138" t="s">
        <v>271</v>
      </c>
      <c r="N426" s="138" t="s">
        <v>272</v>
      </c>
      <c r="O426" s="136" t="s">
        <v>274</v>
      </c>
      <c r="P426" s="130">
        <v>3913623.54</v>
      </c>
      <c r="Q426" s="130">
        <v>0</v>
      </c>
      <c r="R426" s="130">
        <v>0</v>
      </c>
      <c r="S426" s="130">
        <f t="shared" si="110"/>
        <v>3913623.54</v>
      </c>
      <c r="T426" s="130">
        <f t="shared" si="93"/>
        <v>3963.1630784810127</v>
      </c>
      <c r="U426" s="130">
        <v>5362.8586936708862</v>
      </c>
    </row>
    <row r="427" spans="1:21" s="64" customFormat="1" ht="36" customHeight="1" x14ac:dyDescent="0.9">
      <c r="A427" s="64">
        <v>1</v>
      </c>
      <c r="B427" s="96">
        <f>SUBTOTAL(103,$A$16:A427)</f>
        <v>378</v>
      </c>
      <c r="C427" s="94" t="s">
        <v>1309</v>
      </c>
      <c r="D427" s="138">
        <v>1985</v>
      </c>
      <c r="E427" s="138"/>
      <c r="F427" s="167" t="s">
        <v>273</v>
      </c>
      <c r="G427" s="138">
        <v>5</v>
      </c>
      <c r="H427" s="138">
        <v>4</v>
      </c>
      <c r="I427" s="130">
        <v>2915</v>
      </c>
      <c r="J427" s="130">
        <v>2619.4</v>
      </c>
      <c r="K427" s="130">
        <v>2310.6</v>
      </c>
      <c r="L427" s="139">
        <v>117</v>
      </c>
      <c r="M427" s="138" t="s">
        <v>271</v>
      </c>
      <c r="N427" s="138" t="s">
        <v>275</v>
      </c>
      <c r="O427" s="136" t="s">
        <v>1417</v>
      </c>
      <c r="P427" s="130">
        <v>5676565.8099999996</v>
      </c>
      <c r="Q427" s="130">
        <v>0</v>
      </c>
      <c r="R427" s="130">
        <v>0</v>
      </c>
      <c r="S427" s="130">
        <f t="shared" si="110"/>
        <v>5676565.8099999996</v>
      </c>
      <c r="T427" s="130">
        <f t="shared" si="93"/>
        <v>1947.3639142367065</v>
      </c>
      <c r="U427" s="130">
        <v>1947.3639142367065</v>
      </c>
    </row>
    <row r="428" spans="1:21" s="64" customFormat="1" ht="36" customHeight="1" x14ac:dyDescent="0.9">
      <c r="A428" s="64">
        <v>1</v>
      </c>
      <c r="B428" s="96">
        <f>SUBTOTAL(103,$A$16:A428)</f>
        <v>379</v>
      </c>
      <c r="C428" s="94" t="s">
        <v>1310</v>
      </c>
      <c r="D428" s="138">
        <v>1962</v>
      </c>
      <c r="E428" s="138"/>
      <c r="F428" s="167" t="s">
        <v>338</v>
      </c>
      <c r="G428" s="138">
        <v>2</v>
      </c>
      <c r="H428" s="138">
        <v>1</v>
      </c>
      <c r="I428" s="130">
        <v>449.4</v>
      </c>
      <c r="J428" s="130">
        <v>394.4</v>
      </c>
      <c r="K428" s="130">
        <v>355.2</v>
      </c>
      <c r="L428" s="139">
        <v>18</v>
      </c>
      <c r="M428" s="138" t="s">
        <v>271</v>
      </c>
      <c r="N428" s="138" t="s">
        <v>272</v>
      </c>
      <c r="O428" s="136" t="s">
        <v>274</v>
      </c>
      <c r="P428" s="130">
        <v>1183452.6399999999</v>
      </c>
      <c r="Q428" s="130">
        <v>0</v>
      </c>
      <c r="R428" s="130">
        <v>0</v>
      </c>
      <c r="S428" s="130">
        <f t="shared" si="110"/>
        <v>1183452.6399999999</v>
      </c>
      <c r="T428" s="130">
        <f t="shared" si="93"/>
        <v>2633.4059635068979</v>
      </c>
      <c r="U428" s="130">
        <v>4506.5178015131287</v>
      </c>
    </row>
    <row r="429" spans="1:21" s="64" customFormat="1" ht="36" customHeight="1" x14ac:dyDescent="0.9">
      <c r="B429" s="94" t="s">
        <v>884</v>
      </c>
      <c r="C429" s="126"/>
      <c r="D429" s="138" t="s">
        <v>934</v>
      </c>
      <c r="E429" s="138" t="s">
        <v>934</v>
      </c>
      <c r="F429" s="138" t="s">
        <v>934</v>
      </c>
      <c r="G429" s="138" t="s">
        <v>934</v>
      </c>
      <c r="H429" s="138" t="s">
        <v>934</v>
      </c>
      <c r="I429" s="129">
        <f>I430</f>
        <v>2767.4</v>
      </c>
      <c r="J429" s="129">
        <f t="shared" ref="J429:L429" si="111">J430</f>
        <v>2688.6</v>
      </c>
      <c r="K429" s="129">
        <f t="shared" si="111"/>
        <v>1642.8</v>
      </c>
      <c r="L429" s="139">
        <f t="shared" si="111"/>
        <v>148</v>
      </c>
      <c r="M429" s="138" t="s">
        <v>934</v>
      </c>
      <c r="N429" s="138" t="s">
        <v>934</v>
      </c>
      <c r="O429" s="136" t="s">
        <v>934</v>
      </c>
      <c r="P429" s="130">
        <v>5141890.2</v>
      </c>
      <c r="Q429" s="130">
        <f t="shared" ref="Q429:S429" si="112">Q430</f>
        <v>0</v>
      </c>
      <c r="R429" s="130">
        <f t="shared" si="112"/>
        <v>3768516.65</v>
      </c>
      <c r="S429" s="130">
        <f t="shared" si="112"/>
        <v>1373373.5500000003</v>
      </c>
      <c r="T429" s="130">
        <f t="shared" si="93"/>
        <v>1858.0220423502203</v>
      </c>
      <c r="U429" s="130">
        <f>U430</f>
        <v>2424.8249620582492</v>
      </c>
    </row>
    <row r="430" spans="1:21" s="64" customFormat="1" ht="36" customHeight="1" x14ac:dyDescent="0.9">
      <c r="A430" s="64">
        <v>1</v>
      </c>
      <c r="B430" s="96">
        <f>SUBTOTAL(103,$A$16:A430)</f>
        <v>380</v>
      </c>
      <c r="C430" s="94" t="s">
        <v>40</v>
      </c>
      <c r="D430" s="138">
        <v>1979</v>
      </c>
      <c r="E430" s="138"/>
      <c r="F430" s="167" t="s">
        <v>273</v>
      </c>
      <c r="G430" s="138">
        <v>5</v>
      </c>
      <c r="H430" s="138">
        <v>4</v>
      </c>
      <c r="I430" s="130">
        <v>2767.4</v>
      </c>
      <c r="J430" s="130">
        <v>2688.6</v>
      </c>
      <c r="K430" s="130">
        <v>1642.8</v>
      </c>
      <c r="L430" s="139">
        <v>148</v>
      </c>
      <c r="M430" s="138" t="s">
        <v>271</v>
      </c>
      <c r="N430" s="138" t="s">
        <v>272</v>
      </c>
      <c r="O430" s="136" t="s">
        <v>274</v>
      </c>
      <c r="P430" s="130">
        <v>5141890.2</v>
      </c>
      <c r="Q430" s="130">
        <v>0</v>
      </c>
      <c r="R430" s="130">
        <v>3768516.65</v>
      </c>
      <c r="S430" s="130">
        <f>P430-Q430-R430</f>
        <v>1373373.5500000003</v>
      </c>
      <c r="T430" s="130">
        <f t="shared" si="93"/>
        <v>1858.0220423502203</v>
      </c>
      <c r="U430" s="130">
        <v>2424.8249620582492</v>
      </c>
    </row>
    <row r="431" spans="1:21" s="64" customFormat="1" ht="36" customHeight="1" x14ac:dyDescent="0.9">
      <c r="B431" s="94" t="s">
        <v>885</v>
      </c>
      <c r="C431" s="94"/>
      <c r="D431" s="138" t="s">
        <v>934</v>
      </c>
      <c r="E431" s="138" t="s">
        <v>934</v>
      </c>
      <c r="F431" s="138" t="s">
        <v>934</v>
      </c>
      <c r="G431" s="138" t="s">
        <v>934</v>
      </c>
      <c r="H431" s="138" t="s">
        <v>934</v>
      </c>
      <c r="I431" s="129">
        <f>SUM(I432:I435)</f>
        <v>21697.839999999997</v>
      </c>
      <c r="J431" s="129">
        <f t="shared" ref="J431:L431" si="113">SUM(J432:J435)</f>
        <v>16236.63</v>
      </c>
      <c r="K431" s="129">
        <f t="shared" si="113"/>
        <v>11477.43</v>
      </c>
      <c r="L431" s="139">
        <f t="shared" si="113"/>
        <v>751</v>
      </c>
      <c r="M431" s="138" t="s">
        <v>934</v>
      </c>
      <c r="N431" s="138" t="s">
        <v>934</v>
      </c>
      <c r="O431" s="136" t="s">
        <v>934</v>
      </c>
      <c r="P431" s="129">
        <v>21864677.539999999</v>
      </c>
      <c r="Q431" s="129">
        <f t="shared" ref="Q431:S431" si="114">SUM(Q432:Q435)</f>
        <v>0</v>
      </c>
      <c r="R431" s="129">
        <f t="shared" si="114"/>
        <v>0</v>
      </c>
      <c r="S431" s="129">
        <f t="shared" si="114"/>
        <v>21864677.539999999</v>
      </c>
      <c r="T431" s="130">
        <f t="shared" si="93"/>
        <v>1007.6891312683661</v>
      </c>
      <c r="U431" s="130">
        <f>MAX(U432:U435)</f>
        <v>3255.8500000000004</v>
      </c>
    </row>
    <row r="432" spans="1:21" s="64" customFormat="1" ht="36" customHeight="1" x14ac:dyDescent="0.9">
      <c r="A432" s="64">
        <v>1</v>
      </c>
      <c r="B432" s="96">
        <f>SUBTOTAL(103,$A$16:A432)</f>
        <v>381</v>
      </c>
      <c r="C432" s="94" t="s">
        <v>63</v>
      </c>
      <c r="D432" s="138">
        <v>1976</v>
      </c>
      <c r="E432" s="138"/>
      <c r="F432" s="167" t="s">
        <v>273</v>
      </c>
      <c r="G432" s="138">
        <v>5</v>
      </c>
      <c r="H432" s="138">
        <v>6</v>
      </c>
      <c r="I432" s="130">
        <v>4783.1499999999996</v>
      </c>
      <c r="J432" s="130">
        <v>4417.7</v>
      </c>
      <c r="K432" s="130">
        <v>3106.56</v>
      </c>
      <c r="L432" s="139">
        <v>188</v>
      </c>
      <c r="M432" s="138" t="s">
        <v>271</v>
      </c>
      <c r="N432" s="138" t="s">
        <v>275</v>
      </c>
      <c r="O432" s="136" t="s">
        <v>276</v>
      </c>
      <c r="P432" s="130">
        <v>6494255.6099999994</v>
      </c>
      <c r="Q432" s="130">
        <v>0</v>
      </c>
      <c r="R432" s="130">
        <v>0</v>
      </c>
      <c r="S432" s="130">
        <f t="shared" ref="S432:S433" si="115">P432-Q432-R432</f>
        <v>6494255.6099999994</v>
      </c>
      <c r="T432" s="130">
        <f t="shared" si="93"/>
        <v>1357.7361383188902</v>
      </c>
      <c r="U432" s="130">
        <v>1794.7488997836153</v>
      </c>
    </row>
    <row r="433" spans="1:21" s="64" customFormat="1" ht="36" customHeight="1" x14ac:dyDescent="0.9">
      <c r="A433" s="64">
        <v>1</v>
      </c>
      <c r="B433" s="96">
        <f>SUBTOTAL(103,$A$16:A433)</f>
        <v>382</v>
      </c>
      <c r="C433" s="94" t="s">
        <v>1323</v>
      </c>
      <c r="D433" s="138">
        <v>1969</v>
      </c>
      <c r="E433" s="138"/>
      <c r="F433" s="167" t="s">
        <v>273</v>
      </c>
      <c r="G433" s="138">
        <v>5</v>
      </c>
      <c r="H433" s="138">
        <v>6</v>
      </c>
      <c r="I433" s="130">
        <v>3852.2</v>
      </c>
      <c r="J433" s="130">
        <v>2261.6999999999998</v>
      </c>
      <c r="K433" s="130">
        <v>1274.48</v>
      </c>
      <c r="L433" s="139">
        <v>143</v>
      </c>
      <c r="M433" s="138" t="s">
        <v>271</v>
      </c>
      <c r="N433" s="138" t="s">
        <v>275</v>
      </c>
      <c r="O433" s="136" t="s">
        <v>1374</v>
      </c>
      <c r="P433" s="130">
        <v>3789390.1299999994</v>
      </c>
      <c r="Q433" s="130">
        <v>0</v>
      </c>
      <c r="R433" s="130">
        <v>0</v>
      </c>
      <c r="S433" s="130">
        <f t="shared" si="115"/>
        <v>3789390.1299999994</v>
      </c>
      <c r="T433" s="130">
        <f t="shared" si="93"/>
        <v>983.69506515757223</v>
      </c>
      <c r="U433" s="130">
        <v>3255.8500000000004</v>
      </c>
    </row>
    <row r="434" spans="1:21" s="64" customFormat="1" ht="36" customHeight="1" x14ac:dyDescent="0.9">
      <c r="A434" s="64">
        <v>1</v>
      </c>
      <c r="B434" s="96">
        <f>SUBTOTAL(103,$A$16:A434)</f>
        <v>383</v>
      </c>
      <c r="C434" s="94" t="s">
        <v>1649</v>
      </c>
      <c r="D434" s="138">
        <v>1971</v>
      </c>
      <c r="E434" s="138"/>
      <c r="F434" s="167" t="s">
        <v>273</v>
      </c>
      <c r="G434" s="138">
        <v>5</v>
      </c>
      <c r="H434" s="138">
        <v>6</v>
      </c>
      <c r="I434" s="130">
        <v>5891.74</v>
      </c>
      <c r="J434" s="130">
        <v>4464.33</v>
      </c>
      <c r="K434" s="130">
        <v>4081.34</v>
      </c>
      <c r="L434" s="139">
        <v>207</v>
      </c>
      <c r="M434" s="138" t="s">
        <v>271</v>
      </c>
      <c r="N434" s="138" t="s">
        <v>275</v>
      </c>
      <c r="O434" s="136" t="s">
        <v>1374</v>
      </c>
      <c r="P434" s="130">
        <v>5709104.1399999997</v>
      </c>
      <c r="Q434" s="130">
        <v>0</v>
      </c>
      <c r="R434" s="130">
        <v>0</v>
      </c>
      <c r="S434" s="130">
        <f t="shared" ref="S434:S435" si="116">P434-R434-Q434</f>
        <v>5709104.1399999997</v>
      </c>
      <c r="T434" s="130">
        <f t="shared" si="93"/>
        <v>969.00137141150151</v>
      </c>
      <c r="U434" s="130">
        <v>1365.7268073608136</v>
      </c>
    </row>
    <row r="435" spans="1:21" s="64" customFormat="1" ht="36" customHeight="1" x14ac:dyDescent="0.9">
      <c r="A435" s="64">
        <v>1</v>
      </c>
      <c r="B435" s="96">
        <f>SUBTOTAL(103,$A$16:A435)</f>
        <v>384</v>
      </c>
      <c r="C435" s="94" t="s">
        <v>52</v>
      </c>
      <c r="D435" s="138">
        <v>1981</v>
      </c>
      <c r="E435" s="138"/>
      <c r="F435" s="167" t="s">
        <v>273</v>
      </c>
      <c r="G435" s="138">
        <v>5</v>
      </c>
      <c r="H435" s="138">
        <v>8</v>
      </c>
      <c r="I435" s="130">
        <v>7170.75</v>
      </c>
      <c r="J435" s="130">
        <v>5092.8999999999996</v>
      </c>
      <c r="K435" s="130">
        <v>3015.05</v>
      </c>
      <c r="L435" s="139">
        <v>213</v>
      </c>
      <c r="M435" s="138" t="s">
        <v>271</v>
      </c>
      <c r="N435" s="138" t="s">
        <v>275</v>
      </c>
      <c r="O435" s="136" t="s">
        <v>276</v>
      </c>
      <c r="P435" s="130">
        <v>5871927.6600000001</v>
      </c>
      <c r="Q435" s="130">
        <v>0</v>
      </c>
      <c r="R435" s="130">
        <v>0</v>
      </c>
      <c r="S435" s="130">
        <f t="shared" si="116"/>
        <v>5871927.6600000001</v>
      </c>
      <c r="T435" s="130">
        <f t="shared" si="93"/>
        <v>818.87217655057009</v>
      </c>
      <c r="U435" s="130">
        <v>1147.4212683471044</v>
      </c>
    </row>
    <row r="436" spans="1:21" s="64" customFormat="1" ht="36" customHeight="1" x14ac:dyDescent="0.9">
      <c r="B436" s="94" t="s">
        <v>886</v>
      </c>
      <c r="C436" s="94"/>
      <c r="D436" s="138" t="s">
        <v>934</v>
      </c>
      <c r="E436" s="138" t="s">
        <v>934</v>
      </c>
      <c r="F436" s="138" t="s">
        <v>934</v>
      </c>
      <c r="G436" s="138" t="s">
        <v>934</v>
      </c>
      <c r="H436" s="138" t="s">
        <v>934</v>
      </c>
      <c r="I436" s="129">
        <f>SUM(I437:I443)</f>
        <v>21187.5</v>
      </c>
      <c r="J436" s="129">
        <f t="shared" ref="J436:L436" si="117">SUM(J437:J443)</f>
        <v>16500.03</v>
      </c>
      <c r="K436" s="129">
        <f t="shared" si="117"/>
        <v>14836.630000000001</v>
      </c>
      <c r="L436" s="139">
        <f t="shared" si="117"/>
        <v>986</v>
      </c>
      <c r="M436" s="138" t="s">
        <v>934</v>
      </c>
      <c r="N436" s="138" t="s">
        <v>934</v>
      </c>
      <c r="O436" s="136" t="s">
        <v>934</v>
      </c>
      <c r="P436" s="129">
        <v>34570625.039999999</v>
      </c>
      <c r="Q436" s="129">
        <f t="shared" ref="Q436:S436" si="118">SUM(Q437:Q443)</f>
        <v>0</v>
      </c>
      <c r="R436" s="129">
        <f t="shared" si="118"/>
        <v>0</v>
      </c>
      <c r="S436" s="129">
        <f t="shared" si="118"/>
        <v>34570625.039999999</v>
      </c>
      <c r="T436" s="130">
        <f t="shared" si="93"/>
        <v>1631.6519192920352</v>
      </c>
      <c r="U436" s="130">
        <f>MAX(U437:U443)</f>
        <v>5916.4675624760448</v>
      </c>
    </row>
    <row r="437" spans="1:21" s="64" customFormat="1" ht="36" customHeight="1" x14ac:dyDescent="0.9">
      <c r="A437" s="64">
        <v>1</v>
      </c>
      <c r="B437" s="96">
        <f>SUBTOTAL(103,$A$16:A437)</f>
        <v>385</v>
      </c>
      <c r="C437" s="94" t="s">
        <v>47</v>
      </c>
      <c r="D437" s="138">
        <v>1964</v>
      </c>
      <c r="E437" s="138"/>
      <c r="F437" s="167" t="s">
        <v>273</v>
      </c>
      <c r="G437" s="138">
        <v>3</v>
      </c>
      <c r="H437" s="138">
        <v>2</v>
      </c>
      <c r="I437" s="130">
        <v>961.6</v>
      </c>
      <c r="J437" s="130">
        <v>723.4</v>
      </c>
      <c r="K437" s="130">
        <v>723.4</v>
      </c>
      <c r="L437" s="139">
        <v>26</v>
      </c>
      <c r="M437" s="138" t="s">
        <v>271</v>
      </c>
      <c r="N437" s="138" t="s">
        <v>275</v>
      </c>
      <c r="O437" s="136" t="s">
        <v>277</v>
      </c>
      <c r="P437" s="130">
        <v>3272502.06</v>
      </c>
      <c r="Q437" s="130">
        <v>0</v>
      </c>
      <c r="R437" s="130">
        <v>0</v>
      </c>
      <c r="S437" s="130">
        <f t="shared" ref="S437:S443" si="119">P437-Q437-R437</f>
        <v>3272502.06</v>
      </c>
      <c r="T437" s="130">
        <f t="shared" si="93"/>
        <v>3403.1843386023293</v>
      </c>
      <c r="U437" s="130">
        <v>3939.9852142262894</v>
      </c>
    </row>
    <row r="438" spans="1:21" s="64" customFormat="1" ht="36" customHeight="1" x14ac:dyDescent="0.9">
      <c r="A438" s="64">
        <v>1</v>
      </c>
      <c r="B438" s="96">
        <f>SUBTOTAL(103,$A$16:A438)</f>
        <v>386</v>
      </c>
      <c r="C438" s="94" t="s">
        <v>839</v>
      </c>
      <c r="D438" s="138">
        <v>1989</v>
      </c>
      <c r="E438" s="138"/>
      <c r="F438" s="167" t="s">
        <v>273</v>
      </c>
      <c r="G438" s="138">
        <v>4</v>
      </c>
      <c r="H438" s="138">
        <v>1</v>
      </c>
      <c r="I438" s="130">
        <v>1871.3</v>
      </c>
      <c r="J438" s="130">
        <v>779.1</v>
      </c>
      <c r="K438" s="130">
        <v>779.1</v>
      </c>
      <c r="L438" s="139">
        <v>88</v>
      </c>
      <c r="M438" s="138" t="s">
        <v>271</v>
      </c>
      <c r="N438" s="138" t="s">
        <v>272</v>
      </c>
      <c r="O438" s="136" t="s">
        <v>274</v>
      </c>
      <c r="P438" s="130">
        <v>3257538.05</v>
      </c>
      <c r="Q438" s="130">
        <v>0</v>
      </c>
      <c r="R438" s="130">
        <v>0</v>
      </c>
      <c r="S438" s="130">
        <f t="shared" si="119"/>
        <v>3257538.05</v>
      </c>
      <c r="T438" s="130">
        <f t="shared" si="93"/>
        <v>1740.7887831988457</v>
      </c>
      <c r="U438" s="130">
        <v>2080.5195532517505</v>
      </c>
    </row>
    <row r="439" spans="1:21" s="64" customFormat="1" ht="36" customHeight="1" x14ac:dyDescent="0.9">
      <c r="A439" s="64">
        <v>1</v>
      </c>
      <c r="B439" s="96">
        <f>SUBTOTAL(103,$A$16:A439)</f>
        <v>387</v>
      </c>
      <c r="C439" s="94" t="s">
        <v>1311</v>
      </c>
      <c r="D439" s="138">
        <v>1977</v>
      </c>
      <c r="E439" s="138"/>
      <c r="F439" s="167" t="s">
        <v>273</v>
      </c>
      <c r="G439" s="138">
        <v>5</v>
      </c>
      <c r="H439" s="138">
        <v>4</v>
      </c>
      <c r="I439" s="130">
        <v>3403.05</v>
      </c>
      <c r="J439" s="130">
        <v>3132.12</v>
      </c>
      <c r="K439" s="130">
        <v>3132.12</v>
      </c>
      <c r="L439" s="139">
        <v>182</v>
      </c>
      <c r="M439" s="138" t="s">
        <v>271</v>
      </c>
      <c r="N439" s="138" t="s">
        <v>275</v>
      </c>
      <c r="O439" s="136" t="s">
        <v>1376</v>
      </c>
      <c r="P439" s="130">
        <v>5055398.59</v>
      </c>
      <c r="Q439" s="130">
        <v>0</v>
      </c>
      <c r="R439" s="130">
        <v>0</v>
      </c>
      <c r="S439" s="130">
        <f t="shared" si="119"/>
        <v>5055398.59</v>
      </c>
      <c r="T439" s="130">
        <f t="shared" si="93"/>
        <v>1485.549313116175</v>
      </c>
      <c r="U439" s="130">
        <v>3255.8500000000004</v>
      </c>
    </row>
    <row r="440" spans="1:21" s="64" customFormat="1" ht="36" customHeight="1" x14ac:dyDescent="0.9">
      <c r="A440" s="64">
        <v>1</v>
      </c>
      <c r="B440" s="96">
        <f>SUBTOTAL(103,$A$16:A440)</f>
        <v>388</v>
      </c>
      <c r="C440" s="94" t="s">
        <v>1312</v>
      </c>
      <c r="D440" s="138">
        <v>1992</v>
      </c>
      <c r="E440" s="138"/>
      <c r="F440" s="167" t="s">
        <v>273</v>
      </c>
      <c r="G440" s="138">
        <v>5</v>
      </c>
      <c r="H440" s="138">
        <v>5</v>
      </c>
      <c r="I440" s="130">
        <v>3685.4</v>
      </c>
      <c r="J440" s="130">
        <v>3322.7</v>
      </c>
      <c r="K440" s="130">
        <v>3214.1</v>
      </c>
      <c r="L440" s="139">
        <v>157</v>
      </c>
      <c r="M440" s="138" t="s">
        <v>271</v>
      </c>
      <c r="N440" s="138" t="s">
        <v>275</v>
      </c>
      <c r="O440" s="136" t="s">
        <v>1376</v>
      </c>
      <c r="P440" s="130">
        <v>5685725.29</v>
      </c>
      <c r="Q440" s="130">
        <v>0</v>
      </c>
      <c r="R440" s="130">
        <v>0</v>
      </c>
      <c r="S440" s="130">
        <f t="shared" si="119"/>
        <v>5685725.29</v>
      </c>
      <c r="T440" s="130">
        <f t="shared" si="93"/>
        <v>1542.770198621588</v>
      </c>
      <c r="U440" s="130">
        <v>3255.8500000000004</v>
      </c>
    </row>
    <row r="441" spans="1:21" s="64" customFormat="1" ht="36" customHeight="1" x14ac:dyDescent="0.9">
      <c r="A441" s="64">
        <v>1</v>
      </c>
      <c r="B441" s="96">
        <f>SUBTOTAL(103,$A$16:A441)</f>
        <v>389</v>
      </c>
      <c r="C441" s="94" t="s">
        <v>1313</v>
      </c>
      <c r="D441" s="138">
        <v>1970</v>
      </c>
      <c r="E441" s="138"/>
      <c r="F441" s="167" t="s">
        <v>273</v>
      </c>
      <c r="G441" s="138">
        <v>5</v>
      </c>
      <c r="H441" s="138">
        <v>3</v>
      </c>
      <c r="I441" s="130">
        <v>3891.1</v>
      </c>
      <c r="J441" s="130">
        <v>2505.5</v>
      </c>
      <c r="K441" s="130">
        <v>950.7</v>
      </c>
      <c r="L441" s="139">
        <v>253</v>
      </c>
      <c r="M441" s="138" t="s">
        <v>271</v>
      </c>
      <c r="N441" s="138" t="s">
        <v>275</v>
      </c>
      <c r="O441" s="136" t="s">
        <v>1376</v>
      </c>
      <c r="P441" s="130">
        <v>3267591.73</v>
      </c>
      <c r="Q441" s="130">
        <v>0</v>
      </c>
      <c r="R441" s="130">
        <v>0</v>
      </c>
      <c r="S441" s="130">
        <f t="shared" si="119"/>
        <v>3267591.73</v>
      </c>
      <c r="T441" s="130">
        <f t="shared" si="93"/>
        <v>839.76040965279742</v>
      </c>
      <c r="U441" s="130">
        <v>2753.19</v>
      </c>
    </row>
    <row r="442" spans="1:21" s="64" customFormat="1" ht="36" customHeight="1" x14ac:dyDescent="0.9">
      <c r="A442" s="64">
        <v>1</v>
      </c>
      <c r="B442" s="96">
        <f>SUBTOTAL(103,$A$16:A442)</f>
        <v>390</v>
      </c>
      <c r="C442" s="94" t="s">
        <v>1314</v>
      </c>
      <c r="D442" s="138">
        <v>1982</v>
      </c>
      <c r="E442" s="138"/>
      <c r="F442" s="167" t="s">
        <v>273</v>
      </c>
      <c r="G442" s="138">
        <v>5</v>
      </c>
      <c r="H442" s="138">
        <v>7</v>
      </c>
      <c r="I442" s="130">
        <v>6331.45</v>
      </c>
      <c r="J442" s="130">
        <v>5066.51</v>
      </c>
      <c r="K442" s="130">
        <v>5066.51</v>
      </c>
      <c r="L442" s="139">
        <v>218</v>
      </c>
      <c r="M442" s="138" t="s">
        <v>271</v>
      </c>
      <c r="N442" s="138" t="s">
        <v>275</v>
      </c>
      <c r="O442" s="136" t="s">
        <v>277</v>
      </c>
      <c r="P442" s="130">
        <v>9394873.7499999981</v>
      </c>
      <c r="Q442" s="130">
        <v>0</v>
      </c>
      <c r="R442" s="130">
        <v>0</v>
      </c>
      <c r="S442" s="130">
        <f t="shared" si="119"/>
        <v>9394873.7499999981</v>
      </c>
      <c r="T442" s="130">
        <f t="shared" si="93"/>
        <v>1483.8423662826049</v>
      </c>
      <c r="U442" s="130">
        <v>3929.63</v>
      </c>
    </row>
    <row r="443" spans="1:21" s="64" customFormat="1" ht="36" customHeight="1" x14ac:dyDescent="0.9">
      <c r="A443" s="64">
        <v>1</v>
      </c>
      <c r="B443" s="96">
        <f>SUBTOTAL(103,$A$16:A443)</f>
        <v>391</v>
      </c>
      <c r="C443" s="94" t="s">
        <v>1315</v>
      </c>
      <c r="D443" s="138">
        <v>1964</v>
      </c>
      <c r="E443" s="138"/>
      <c r="F443" s="167" t="s">
        <v>273</v>
      </c>
      <c r="G443" s="138">
        <v>3</v>
      </c>
      <c r="H443" s="138">
        <v>2</v>
      </c>
      <c r="I443" s="130">
        <v>1043.5999999999999</v>
      </c>
      <c r="J443" s="130">
        <v>970.7</v>
      </c>
      <c r="K443" s="130">
        <v>970.7</v>
      </c>
      <c r="L443" s="139">
        <v>62</v>
      </c>
      <c r="M443" s="138" t="s">
        <v>271</v>
      </c>
      <c r="N443" s="138" t="s">
        <v>275</v>
      </c>
      <c r="O443" s="136" t="s">
        <v>277</v>
      </c>
      <c r="P443" s="130">
        <v>4636995.57</v>
      </c>
      <c r="Q443" s="130">
        <v>0</v>
      </c>
      <c r="R443" s="130">
        <v>0</v>
      </c>
      <c r="S443" s="130">
        <f t="shared" si="119"/>
        <v>4636995.57</v>
      </c>
      <c r="T443" s="130">
        <f t="shared" si="93"/>
        <v>4443.2690398620171</v>
      </c>
      <c r="U443" s="130">
        <v>5916.4675624760448</v>
      </c>
    </row>
    <row r="444" spans="1:21" s="64" customFormat="1" ht="36" customHeight="1" x14ac:dyDescent="0.9">
      <c r="B444" s="94" t="s">
        <v>887</v>
      </c>
      <c r="C444" s="94"/>
      <c r="D444" s="138" t="s">
        <v>934</v>
      </c>
      <c r="E444" s="138" t="s">
        <v>934</v>
      </c>
      <c r="F444" s="138" t="s">
        <v>934</v>
      </c>
      <c r="G444" s="138" t="s">
        <v>934</v>
      </c>
      <c r="H444" s="138" t="s">
        <v>934</v>
      </c>
      <c r="I444" s="129">
        <f>SUM(I445:I449)</f>
        <v>5121.21</v>
      </c>
      <c r="J444" s="129">
        <f t="shared" ref="J444:L444" si="120">SUM(J445:J449)</f>
        <v>4137.74</v>
      </c>
      <c r="K444" s="129">
        <f t="shared" si="120"/>
        <v>4095.04</v>
      </c>
      <c r="L444" s="139">
        <f t="shared" si="120"/>
        <v>162</v>
      </c>
      <c r="M444" s="138" t="s">
        <v>934</v>
      </c>
      <c r="N444" s="138" t="s">
        <v>934</v>
      </c>
      <c r="O444" s="136" t="s">
        <v>934</v>
      </c>
      <c r="P444" s="130">
        <v>12742956.99</v>
      </c>
      <c r="Q444" s="130">
        <f t="shared" ref="Q444:S444" si="121">SUM(Q445:Q449)</f>
        <v>0</v>
      </c>
      <c r="R444" s="130">
        <f t="shared" si="121"/>
        <v>0</v>
      </c>
      <c r="S444" s="130">
        <f t="shared" si="121"/>
        <v>12742956.99</v>
      </c>
      <c r="T444" s="130">
        <f t="shared" si="93"/>
        <v>2488.2707387511937</v>
      </c>
      <c r="U444" s="130">
        <f>MAX(U445:U449)</f>
        <v>4962.4458325406958</v>
      </c>
    </row>
    <row r="445" spans="1:21" s="64" customFormat="1" ht="36" customHeight="1" x14ac:dyDescent="0.9">
      <c r="A445" s="64">
        <v>1</v>
      </c>
      <c r="B445" s="96">
        <f>SUBTOTAL(103,$A$16:A445)</f>
        <v>392</v>
      </c>
      <c r="C445" s="94" t="s">
        <v>44</v>
      </c>
      <c r="D445" s="138">
        <v>1956</v>
      </c>
      <c r="E445" s="138"/>
      <c r="F445" s="167" t="s">
        <v>273</v>
      </c>
      <c r="G445" s="138">
        <v>2</v>
      </c>
      <c r="H445" s="138">
        <v>2</v>
      </c>
      <c r="I445" s="130">
        <v>735.94</v>
      </c>
      <c r="J445" s="130">
        <v>672.45</v>
      </c>
      <c r="K445" s="130">
        <v>672.45</v>
      </c>
      <c r="L445" s="139">
        <v>31</v>
      </c>
      <c r="M445" s="138" t="s">
        <v>271</v>
      </c>
      <c r="N445" s="138" t="s">
        <v>275</v>
      </c>
      <c r="O445" s="136" t="s">
        <v>278</v>
      </c>
      <c r="P445" s="130">
        <v>2946282.12</v>
      </c>
      <c r="Q445" s="130">
        <v>0</v>
      </c>
      <c r="R445" s="130">
        <v>0</v>
      </c>
      <c r="S445" s="130">
        <f t="shared" ref="S445:S449" si="122">P445-Q445-R445</f>
        <v>2946282.12</v>
      </c>
      <c r="T445" s="130">
        <f t="shared" si="93"/>
        <v>4003.4270728592005</v>
      </c>
      <c r="U445" s="130">
        <v>4962.4458325406958</v>
      </c>
    </row>
    <row r="446" spans="1:21" s="64" customFormat="1" ht="36" customHeight="1" x14ac:dyDescent="0.9">
      <c r="A446" s="64">
        <v>1</v>
      </c>
      <c r="B446" s="96">
        <f>SUBTOTAL(103,$A$16:A446)</f>
        <v>393</v>
      </c>
      <c r="C446" s="94" t="s">
        <v>43</v>
      </c>
      <c r="D446" s="138">
        <v>1963</v>
      </c>
      <c r="E446" s="138"/>
      <c r="F446" s="167" t="s">
        <v>273</v>
      </c>
      <c r="G446" s="138">
        <v>2</v>
      </c>
      <c r="H446" s="138">
        <v>2</v>
      </c>
      <c r="I446" s="130">
        <v>687.5</v>
      </c>
      <c r="J446" s="130">
        <v>521.5</v>
      </c>
      <c r="K446" s="130">
        <v>478.8</v>
      </c>
      <c r="L446" s="139">
        <v>14</v>
      </c>
      <c r="M446" s="138" t="s">
        <v>271</v>
      </c>
      <c r="N446" s="138" t="s">
        <v>275</v>
      </c>
      <c r="O446" s="136" t="s">
        <v>278</v>
      </c>
      <c r="P446" s="130">
        <v>2933807.77</v>
      </c>
      <c r="Q446" s="130">
        <v>0</v>
      </c>
      <c r="R446" s="130">
        <v>0</v>
      </c>
      <c r="S446" s="130">
        <f t="shared" si="122"/>
        <v>2933807.77</v>
      </c>
      <c r="T446" s="130">
        <f t="shared" si="93"/>
        <v>4267.3567563636361</v>
      </c>
      <c r="U446" s="130">
        <v>4401.9742196363641</v>
      </c>
    </row>
    <row r="447" spans="1:21" s="64" customFormat="1" ht="36" customHeight="1" x14ac:dyDescent="0.9">
      <c r="A447" s="64">
        <v>1</v>
      </c>
      <c r="B447" s="96">
        <f>SUBTOTAL(103,$A$16:A447)</f>
        <v>394</v>
      </c>
      <c r="C447" s="94" t="s">
        <v>45</v>
      </c>
      <c r="D447" s="138">
        <v>1964</v>
      </c>
      <c r="E447" s="138"/>
      <c r="F447" s="167" t="s">
        <v>273</v>
      </c>
      <c r="G447" s="138">
        <v>2</v>
      </c>
      <c r="H447" s="138">
        <v>2</v>
      </c>
      <c r="I447" s="130">
        <v>691.68</v>
      </c>
      <c r="J447" s="130">
        <v>643.4</v>
      </c>
      <c r="K447" s="130">
        <v>643.4</v>
      </c>
      <c r="L447" s="139">
        <v>15</v>
      </c>
      <c r="M447" s="138" t="s">
        <v>271</v>
      </c>
      <c r="N447" s="138" t="s">
        <v>275</v>
      </c>
      <c r="O447" s="136" t="s">
        <v>278</v>
      </c>
      <c r="P447" s="130">
        <v>2927741.81</v>
      </c>
      <c r="Q447" s="130">
        <v>0</v>
      </c>
      <c r="R447" s="130">
        <v>0</v>
      </c>
      <c r="S447" s="130">
        <f t="shared" si="122"/>
        <v>2927741.81</v>
      </c>
      <c r="T447" s="130">
        <f t="shared" si="93"/>
        <v>4232.7981291926908</v>
      </c>
      <c r="U447" s="130">
        <v>4516.9640990053203</v>
      </c>
    </row>
    <row r="448" spans="1:21" s="64" customFormat="1" ht="36" customHeight="1" x14ac:dyDescent="0.9">
      <c r="A448" s="64">
        <v>1</v>
      </c>
      <c r="B448" s="96">
        <f>SUBTOTAL(103,$A$16:A448)</f>
        <v>395</v>
      </c>
      <c r="C448" s="94" t="s">
        <v>1321</v>
      </c>
      <c r="D448" s="138">
        <v>1974</v>
      </c>
      <c r="E448" s="138"/>
      <c r="F448" s="167" t="s">
        <v>273</v>
      </c>
      <c r="G448" s="138">
        <v>5</v>
      </c>
      <c r="H448" s="138">
        <v>2</v>
      </c>
      <c r="I448" s="130">
        <v>2403.29</v>
      </c>
      <c r="J448" s="130">
        <v>1756.39</v>
      </c>
      <c r="K448" s="130">
        <v>1756.39</v>
      </c>
      <c r="L448" s="139">
        <v>78</v>
      </c>
      <c r="M448" s="138" t="s">
        <v>271</v>
      </c>
      <c r="N448" s="138" t="s">
        <v>275</v>
      </c>
      <c r="O448" s="136" t="s">
        <v>278</v>
      </c>
      <c r="P448" s="130">
        <v>2426051.6199999996</v>
      </c>
      <c r="Q448" s="130">
        <v>0</v>
      </c>
      <c r="R448" s="130">
        <v>0</v>
      </c>
      <c r="S448" s="130">
        <f t="shared" si="122"/>
        <v>2426051.6199999996</v>
      </c>
      <c r="T448" s="130">
        <f t="shared" si="93"/>
        <v>1009.4710251363754</v>
      </c>
      <c r="U448" s="130">
        <v>3521.88</v>
      </c>
    </row>
    <row r="449" spans="1:21" s="64" customFormat="1" ht="36" customHeight="1" x14ac:dyDescent="0.9">
      <c r="A449" s="64">
        <v>1</v>
      </c>
      <c r="B449" s="96">
        <f>SUBTOTAL(103,$A$16:A449)</f>
        <v>396</v>
      </c>
      <c r="C449" s="94" t="s">
        <v>1322</v>
      </c>
      <c r="D449" s="138">
        <v>1936</v>
      </c>
      <c r="E449" s="138"/>
      <c r="F449" s="167" t="s">
        <v>338</v>
      </c>
      <c r="G449" s="138">
        <v>2</v>
      </c>
      <c r="H449" s="138">
        <v>2</v>
      </c>
      <c r="I449" s="130">
        <v>602.79999999999995</v>
      </c>
      <c r="J449" s="130">
        <v>544</v>
      </c>
      <c r="K449" s="130">
        <v>544</v>
      </c>
      <c r="L449" s="139">
        <v>24</v>
      </c>
      <c r="M449" s="138" t="s">
        <v>271</v>
      </c>
      <c r="N449" s="138" t="s">
        <v>275</v>
      </c>
      <c r="O449" s="136" t="s">
        <v>278</v>
      </c>
      <c r="P449" s="130">
        <v>1509073.6700000002</v>
      </c>
      <c r="Q449" s="130">
        <v>0</v>
      </c>
      <c r="R449" s="130">
        <v>0</v>
      </c>
      <c r="S449" s="130">
        <f t="shared" si="122"/>
        <v>1509073.6700000002</v>
      </c>
      <c r="T449" s="130">
        <f t="shared" si="93"/>
        <v>2503.440063039151</v>
      </c>
      <c r="U449" s="130">
        <v>4553.1500331785001</v>
      </c>
    </row>
    <row r="450" spans="1:21" s="64" customFormat="1" ht="36" customHeight="1" x14ac:dyDescent="0.9">
      <c r="B450" s="94" t="s">
        <v>888</v>
      </c>
      <c r="C450" s="94"/>
      <c r="D450" s="138" t="s">
        <v>934</v>
      </c>
      <c r="E450" s="138" t="s">
        <v>934</v>
      </c>
      <c r="F450" s="138" t="s">
        <v>934</v>
      </c>
      <c r="G450" s="138" t="s">
        <v>934</v>
      </c>
      <c r="H450" s="138" t="s">
        <v>934</v>
      </c>
      <c r="I450" s="129">
        <f>I451+I452</f>
        <v>1488.6</v>
      </c>
      <c r="J450" s="129">
        <f t="shared" ref="J450:L450" si="123">J451+J452</f>
        <v>1410.2</v>
      </c>
      <c r="K450" s="129">
        <f t="shared" si="123"/>
        <v>987.3</v>
      </c>
      <c r="L450" s="139">
        <f t="shared" si="123"/>
        <v>67</v>
      </c>
      <c r="M450" s="138" t="s">
        <v>934</v>
      </c>
      <c r="N450" s="138" t="s">
        <v>934</v>
      </c>
      <c r="O450" s="136" t="s">
        <v>934</v>
      </c>
      <c r="P450" s="129">
        <v>6025381.3300000001</v>
      </c>
      <c r="Q450" s="129">
        <f t="shared" ref="Q450:S450" si="124">Q451+Q452</f>
        <v>0</v>
      </c>
      <c r="R450" s="129">
        <f t="shared" si="124"/>
        <v>0</v>
      </c>
      <c r="S450" s="129">
        <f t="shared" si="124"/>
        <v>6025381.3300000001</v>
      </c>
      <c r="T450" s="130">
        <f t="shared" si="93"/>
        <v>4047.683279591563</v>
      </c>
      <c r="U450" s="130">
        <f>MAX(U451:U452)</f>
        <v>5563.0738308090131</v>
      </c>
    </row>
    <row r="451" spans="1:21" s="64" customFormat="1" ht="36" customHeight="1" x14ac:dyDescent="0.9">
      <c r="A451" s="64">
        <v>1</v>
      </c>
      <c r="B451" s="96">
        <f>SUBTOTAL(103,$A$16:A451)</f>
        <v>397</v>
      </c>
      <c r="C451" s="94" t="s">
        <v>42</v>
      </c>
      <c r="D451" s="138">
        <v>1960</v>
      </c>
      <c r="E451" s="138"/>
      <c r="F451" s="167" t="s">
        <v>273</v>
      </c>
      <c r="G451" s="138">
        <v>2</v>
      </c>
      <c r="H451" s="138">
        <v>2</v>
      </c>
      <c r="I451" s="130">
        <v>676.5</v>
      </c>
      <c r="J451" s="130">
        <v>628.1</v>
      </c>
      <c r="K451" s="130">
        <v>542.1</v>
      </c>
      <c r="L451" s="139">
        <v>32</v>
      </c>
      <c r="M451" s="138" t="s">
        <v>271</v>
      </c>
      <c r="N451" s="138" t="s">
        <v>275</v>
      </c>
      <c r="O451" s="136" t="s">
        <v>279</v>
      </c>
      <c r="P451" s="130">
        <v>2857792.39</v>
      </c>
      <c r="Q451" s="130">
        <v>0</v>
      </c>
      <c r="R451" s="130">
        <v>0</v>
      </c>
      <c r="S451" s="130">
        <f>P451-Q451-R451</f>
        <v>2857792.39</v>
      </c>
      <c r="T451" s="130">
        <f t="shared" si="93"/>
        <v>4224.378994826312</v>
      </c>
      <c r="U451" s="130">
        <v>4378.8254249815227</v>
      </c>
    </row>
    <row r="452" spans="1:21" s="64" customFormat="1" ht="36" customHeight="1" x14ac:dyDescent="0.9">
      <c r="A452" s="64">
        <v>1</v>
      </c>
      <c r="B452" s="96">
        <f>SUBTOTAL(103,$A$16:A452)</f>
        <v>398</v>
      </c>
      <c r="C452" s="94" t="s">
        <v>1651</v>
      </c>
      <c r="D452" s="138">
        <v>1957</v>
      </c>
      <c r="E452" s="138"/>
      <c r="F452" s="167" t="s">
        <v>273</v>
      </c>
      <c r="G452" s="138">
        <v>2</v>
      </c>
      <c r="H452" s="138">
        <v>2</v>
      </c>
      <c r="I452" s="130">
        <v>812.1</v>
      </c>
      <c r="J452" s="130">
        <v>782.1</v>
      </c>
      <c r="K452" s="130">
        <v>445.2</v>
      </c>
      <c r="L452" s="139">
        <v>35</v>
      </c>
      <c r="M452" s="138" t="s">
        <v>271</v>
      </c>
      <c r="N452" s="138" t="s">
        <v>275</v>
      </c>
      <c r="O452" s="136" t="s">
        <v>279</v>
      </c>
      <c r="P452" s="130">
        <v>3167588.94</v>
      </c>
      <c r="Q452" s="130">
        <v>0</v>
      </c>
      <c r="R452" s="130">
        <v>0</v>
      </c>
      <c r="S452" s="130">
        <f>P452-R452-Q452</f>
        <v>3167588.94</v>
      </c>
      <c r="T452" s="130">
        <f t="shared" si="93"/>
        <v>3900.4912449205763</v>
      </c>
      <c r="U452" s="130">
        <v>5563.0738308090131</v>
      </c>
    </row>
    <row r="453" spans="1:21" s="64" customFormat="1" ht="36" customHeight="1" x14ac:dyDescent="0.9">
      <c r="B453" s="94" t="s">
        <v>889</v>
      </c>
      <c r="C453" s="94"/>
      <c r="D453" s="138" t="s">
        <v>934</v>
      </c>
      <c r="E453" s="138" t="s">
        <v>934</v>
      </c>
      <c r="F453" s="138" t="s">
        <v>934</v>
      </c>
      <c r="G453" s="138" t="s">
        <v>934</v>
      </c>
      <c r="H453" s="138" t="s">
        <v>934</v>
      </c>
      <c r="I453" s="129">
        <f>SUM(I454:I462)</f>
        <v>14074.8</v>
      </c>
      <c r="J453" s="129">
        <f t="shared" ref="J453:L453" si="125">SUM(J454:J462)</f>
        <v>12404.339999999998</v>
      </c>
      <c r="K453" s="129">
        <f t="shared" si="125"/>
        <v>11986.91</v>
      </c>
      <c r="L453" s="139">
        <f t="shared" si="125"/>
        <v>602</v>
      </c>
      <c r="M453" s="138" t="s">
        <v>934</v>
      </c>
      <c r="N453" s="138" t="s">
        <v>934</v>
      </c>
      <c r="O453" s="136" t="s">
        <v>934</v>
      </c>
      <c r="P453" s="130">
        <v>29961094.709999993</v>
      </c>
      <c r="Q453" s="130">
        <f t="shared" ref="Q453:S453" si="126">SUM(Q454:Q462)</f>
        <v>0</v>
      </c>
      <c r="R453" s="130">
        <f t="shared" si="126"/>
        <v>0</v>
      </c>
      <c r="S453" s="130">
        <f t="shared" si="126"/>
        <v>29961094.709999993</v>
      </c>
      <c r="T453" s="130">
        <f t="shared" si="93"/>
        <v>2128.7048277773038</v>
      </c>
      <c r="U453" s="130">
        <f>MAX(U454:U462)</f>
        <v>6102.6405225230528</v>
      </c>
    </row>
    <row r="454" spans="1:21" s="64" customFormat="1" ht="36" customHeight="1" x14ac:dyDescent="0.9">
      <c r="A454" s="64">
        <v>1</v>
      </c>
      <c r="B454" s="96">
        <f>SUBTOTAL(103,$A$16:A454)</f>
        <v>399</v>
      </c>
      <c r="C454" s="94" t="s">
        <v>50</v>
      </c>
      <c r="D454" s="138">
        <v>1941</v>
      </c>
      <c r="E454" s="138"/>
      <c r="F454" s="167" t="s">
        <v>273</v>
      </c>
      <c r="G454" s="138">
        <v>3</v>
      </c>
      <c r="H454" s="138">
        <v>3</v>
      </c>
      <c r="I454" s="130">
        <v>1207.5</v>
      </c>
      <c r="J454" s="130">
        <v>1028.42</v>
      </c>
      <c r="K454" s="130">
        <v>1028.42</v>
      </c>
      <c r="L454" s="139">
        <v>51</v>
      </c>
      <c r="M454" s="138" t="s">
        <v>271</v>
      </c>
      <c r="N454" s="138" t="s">
        <v>272</v>
      </c>
      <c r="O454" s="136" t="s">
        <v>274</v>
      </c>
      <c r="P454" s="130">
        <v>4525933.4200000009</v>
      </c>
      <c r="Q454" s="130">
        <v>0</v>
      </c>
      <c r="R454" s="130">
        <v>0</v>
      </c>
      <c r="S454" s="130">
        <f t="shared" ref="S454:S462" si="127">P454-Q454-R454</f>
        <v>4525933.4200000009</v>
      </c>
      <c r="T454" s="130">
        <f t="shared" si="93"/>
        <v>3748.1850269151146</v>
      </c>
      <c r="U454" s="130">
        <v>4342.217356521739</v>
      </c>
    </row>
    <row r="455" spans="1:21" s="64" customFormat="1" ht="36" customHeight="1" x14ac:dyDescent="0.9">
      <c r="A455" s="64">
        <v>1</v>
      </c>
      <c r="B455" s="96">
        <f>SUBTOTAL(103,$A$16:A455)</f>
        <v>400</v>
      </c>
      <c r="C455" s="94" t="s">
        <v>48</v>
      </c>
      <c r="D455" s="138">
        <v>1972</v>
      </c>
      <c r="E455" s="138"/>
      <c r="F455" s="167" t="s">
        <v>273</v>
      </c>
      <c r="G455" s="138">
        <v>2</v>
      </c>
      <c r="H455" s="138">
        <v>2</v>
      </c>
      <c r="I455" s="130">
        <v>729.8</v>
      </c>
      <c r="J455" s="130">
        <v>670.43999999999994</v>
      </c>
      <c r="K455" s="130">
        <v>670.44</v>
      </c>
      <c r="L455" s="139">
        <v>29</v>
      </c>
      <c r="M455" s="138" t="s">
        <v>271</v>
      </c>
      <c r="N455" s="138" t="s">
        <v>272</v>
      </c>
      <c r="O455" s="136" t="s">
        <v>274</v>
      </c>
      <c r="P455" s="130">
        <v>3351574.4499999997</v>
      </c>
      <c r="Q455" s="130">
        <v>0</v>
      </c>
      <c r="R455" s="130">
        <v>0</v>
      </c>
      <c r="S455" s="130">
        <f t="shared" si="127"/>
        <v>3351574.4499999997</v>
      </c>
      <c r="T455" s="130">
        <f t="shared" si="93"/>
        <v>4592.4560838585912</v>
      </c>
      <c r="U455" s="130">
        <v>5406.7850671416827</v>
      </c>
    </row>
    <row r="456" spans="1:21" s="64" customFormat="1" ht="36" customHeight="1" x14ac:dyDescent="0.9">
      <c r="A456" s="64">
        <v>1</v>
      </c>
      <c r="B456" s="96">
        <f>SUBTOTAL(103,$A$16:A456)</f>
        <v>401</v>
      </c>
      <c r="C456" s="94" t="s">
        <v>49</v>
      </c>
      <c r="D456" s="138">
        <v>1962</v>
      </c>
      <c r="E456" s="138"/>
      <c r="F456" s="167" t="s">
        <v>273</v>
      </c>
      <c r="G456" s="138">
        <v>4</v>
      </c>
      <c r="H456" s="138">
        <v>3</v>
      </c>
      <c r="I456" s="130">
        <v>1905.34</v>
      </c>
      <c r="J456" s="130">
        <v>1830.34</v>
      </c>
      <c r="K456" s="130">
        <v>1708.94</v>
      </c>
      <c r="L456" s="139">
        <v>104</v>
      </c>
      <c r="M456" s="138" t="s">
        <v>271</v>
      </c>
      <c r="N456" s="138" t="s">
        <v>272</v>
      </c>
      <c r="O456" s="136" t="s">
        <v>274</v>
      </c>
      <c r="P456" s="130">
        <v>4680435.38</v>
      </c>
      <c r="Q456" s="130">
        <v>0</v>
      </c>
      <c r="R456" s="130">
        <v>0</v>
      </c>
      <c r="S456" s="130">
        <f t="shared" si="127"/>
        <v>4680435.38</v>
      </c>
      <c r="T456" s="130">
        <f t="shared" si="93"/>
        <v>2456.4830318998183</v>
      </c>
      <c r="U456" s="130">
        <v>2845.7771704787597</v>
      </c>
    </row>
    <row r="457" spans="1:21" s="64" customFormat="1" ht="36" customHeight="1" x14ac:dyDescent="0.9">
      <c r="A457" s="64">
        <v>1</v>
      </c>
      <c r="B457" s="96">
        <f>SUBTOTAL(103,$A$16:A457)</f>
        <v>402</v>
      </c>
      <c r="C457" s="94" t="s">
        <v>51</v>
      </c>
      <c r="D457" s="138">
        <v>1971</v>
      </c>
      <c r="E457" s="138"/>
      <c r="F457" s="167" t="s">
        <v>273</v>
      </c>
      <c r="G457" s="138">
        <v>2</v>
      </c>
      <c r="H457" s="138">
        <v>2</v>
      </c>
      <c r="I457" s="130">
        <v>758.5</v>
      </c>
      <c r="J457" s="130">
        <v>696.38</v>
      </c>
      <c r="K457" s="130">
        <v>644.48</v>
      </c>
      <c r="L457" s="139">
        <v>22</v>
      </c>
      <c r="M457" s="138" t="s">
        <v>271</v>
      </c>
      <c r="N457" s="138" t="s">
        <v>272</v>
      </c>
      <c r="O457" s="136" t="s">
        <v>274</v>
      </c>
      <c r="P457" s="130">
        <v>3500816.5599999996</v>
      </c>
      <c r="Q457" s="130">
        <v>0</v>
      </c>
      <c r="R457" s="130">
        <v>0</v>
      </c>
      <c r="S457" s="130">
        <f t="shared" si="127"/>
        <v>3500816.5599999996</v>
      </c>
      <c r="T457" s="130">
        <f t="shared" si="93"/>
        <v>4615.4470138431107</v>
      </c>
      <c r="U457" s="130">
        <v>5427.7630323005933</v>
      </c>
    </row>
    <row r="458" spans="1:21" s="64" customFormat="1" ht="36" customHeight="1" x14ac:dyDescent="0.9">
      <c r="A458" s="64">
        <v>1</v>
      </c>
      <c r="B458" s="96">
        <f>SUBTOTAL(103,$A$16:A458)</f>
        <v>403</v>
      </c>
      <c r="C458" s="94" t="s">
        <v>1316</v>
      </c>
      <c r="D458" s="138">
        <v>1978</v>
      </c>
      <c r="E458" s="138"/>
      <c r="F458" s="167" t="s">
        <v>273</v>
      </c>
      <c r="G458" s="138">
        <v>3</v>
      </c>
      <c r="H458" s="138">
        <v>3</v>
      </c>
      <c r="I458" s="130">
        <v>1326.37</v>
      </c>
      <c r="J458" s="130">
        <v>1191.9699999999998</v>
      </c>
      <c r="K458" s="130">
        <v>1191.97</v>
      </c>
      <c r="L458" s="139">
        <v>55</v>
      </c>
      <c r="M458" s="138" t="s">
        <v>271</v>
      </c>
      <c r="N458" s="138" t="s">
        <v>272</v>
      </c>
      <c r="O458" s="136" t="s">
        <v>274</v>
      </c>
      <c r="P458" s="130">
        <v>3146286.42</v>
      </c>
      <c r="Q458" s="130">
        <v>0</v>
      </c>
      <c r="R458" s="130">
        <v>0</v>
      </c>
      <c r="S458" s="130">
        <f t="shared" si="127"/>
        <v>3146286.42</v>
      </c>
      <c r="T458" s="130">
        <f t="shared" ref="T458:T521" si="128">P458/I458</f>
        <v>2372.103123562807</v>
      </c>
      <c r="U458" s="130">
        <v>3092.5342174506359</v>
      </c>
    </row>
    <row r="459" spans="1:21" s="64" customFormat="1" ht="36" customHeight="1" x14ac:dyDescent="0.9">
      <c r="A459" s="64">
        <v>1</v>
      </c>
      <c r="B459" s="96">
        <f>SUBTOTAL(103,$A$16:A459)</f>
        <v>404</v>
      </c>
      <c r="C459" s="94" t="s">
        <v>1317</v>
      </c>
      <c r="D459" s="138">
        <v>1983</v>
      </c>
      <c r="E459" s="138"/>
      <c r="F459" s="167" t="s">
        <v>273</v>
      </c>
      <c r="G459" s="138">
        <v>5</v>
      </c>
      <c r="H459" s="138">
        <v>6</v>
      </c>
      <c r="I459" s="130">
        <v>4088.44</v>
      </c>
      <c r="J459" s="130">
        <v>3644.94</v>
      </c>
      <c r="K459" s="130">
        <v>3612.34</v>
      </c>
      <c r="L459" s="139">
        <v>151</v>
      </c>
      <c r="M459" s="138" t="s">
        <v>271</v>
      </c>
      <c r="N459" s="138" t="s">
        <v>275</v>
      </c>
      <c r="O459" s="136" t="s">
        <v>1375</v>
      </c>
      <c r="P459" s="130">
        <v>3254584.31</v>
      </c>
      <c r="Q459" s="130">
        <v>0</v>
      </c>
      <c r="R459" s="130">
        <v>0</v>
      </c>
      <c r="S459" s="130">
        <f t="shared" si="127"/>
        <v>3254584.31</v>
      </c>
      <c r="T459" s="130">
        <f t="shared" si="128"/>
        <v>796.04551124634338</v>
      </c>
      <c r="U459" s="130">
        <v>1888.7071983446008</v>
      </c>
    </row>
    <row r="460" spans="1:21" s="64" customFormat="1" ht="36" customHeight="1" x14ac:dyDescent="0.9">
      <c r="A460" s="64">
        <v>1</v>
      </c>
      <c r="B460" s="96">
        <f>SUBTOTAL(103,$A$16:A460)</f>
        <v>405</v>
      </c>
      <c r="C460" s="94" t="s">
        <v>1318</v>
      </c>
      <c r="D460" s="138">
        <v>1974</v>
      </c>
      <c r="E460" s="138"/>
      <c r="F460" s="167" t="s">
        <v>319</v>
      </c>
      <c r="G460" s="138">
        <v>5</v>
      </c>
      <c r="H460" s="138">
        <v>5</v>
      </c>
      <c r="I460" s="130">
        <v>3399.85</v>
      </c>
      <c r="J460" s="130">
        <v>2854.6499999999996</v>
      </c>
      <c r="K460" s="130">
        <v>2776.82</v>
      </c>
      <c r="L460" s="139">
        <v>163</v>
      </c>
      <c r="M460" s="138" t="s">
        <v>271</v>
      </c>
      <c r="N460" s="138" t="s">
        <v>275</v>
      </c>
      <c r="O460" s="136" t="s">
        <v>1375</v>
      </c>
      <c r="P460" s="130">
        <v>4373146.29</v>
      </c>
      <c r="Q460" s="130">
        <v>0</v>
      </c>
      <c r="R460" s="130">
        <v>0</v>
      </c>
      <c r="S460" s="130">
        <f t="shared" si="127"/>
        <v>4373146.29</v>
      </c>
      <c r="T460" s="130">
        <f t="shared" si="128"/>
        <v>1286.2762445402004</v>
      </c>
      <c r="U460" s="130">
        <v>6102.6405225230528</v>
      </c>
    </row>
    <row r="461" spans="1:21" s="64" customFormat="1" ht="36" customHeight="1" x14ac:dyDescent="0.9">
      <c r="A461" s="64">
        <v>1</v>
      </c>
      <c r="B461" s="96">
        <f>SUBTOTAL(103,$A$16:A461)</f>
        <v>406</v>
      </c>
      <c r="C461" s="94" t="s">
        <v>1319</v>
      </c>
      <c r="D461" s="138">
        <v>1959</v>
      </c>
      <c r="E461" s="138"/>
      <c r="F461" s="167" t="s">
        <v>273</v>
      </c>
      <c r="G461" s="138">
        <v>1</v>
      </c>
      <c r="H461" s="138">
        <v>1</v>
      </c>
      <c r="I461" s="130">
        <v>264.3</v>
      </c>
      <c r="J461" s="130">
        <v>252.9</v>
      </c>
      <c r="K461" s="130">
        <v>119.20000000000002</v>
      </c>
      <c r="L461" s="139">
        <v>15</v>
      </c>
      <c r="M461" s="138" t="s">
        <v>271</v>
      </c>
      <c r="N461" s="138" t="s">
        <v>272</v>
      </c>
      <c r="O461" s="136" t="s">
        <v>274</v>
      </c>
      <c r="P461" s="130">
        <v>1452832.41</v>
      </c>
      <c r="Q461" s="130">
        <v>0</v>
      </c>
      <c r="R461" s="130">
        <v>0</v>
      </c>
      <c r="S461" s="130">
        <f t="shared" si="127"/>
        <v>1452832.41</v>
      </c>
      <c r="T461" s="130">
        <f t="shared" si="128"/>
        <v>5496.9065834279227</v>
      </c>
      <c r="U461" s="130">
        <v>5786.9897086643969</v>
      </c>
    </row>
    <row r="462" spans="1:21" s="64" customFormat="1" ht="36" customHeight="1" x14ac:dyDescent="0.9">
      <c r="A462" s="64">
        <v>1</v>
      </c>
      <c r="B462" s="96">
        <f>SUBTOTAL(103,$A$16:A462)</f>
        <v>407</v>
      </c>
      <c r="C462" s="94" t="s">
        <v>1320</v>
      </c>
      <c r="D462" s="138">
        <v>19557</v>
      </c>
      <c r="E462" s="138"/>
      <c r="F462" s="167" t="s">
        <v>338</v>
      </c>
      <c r="G462" s="138">
        <v>2</v>
      </c>
      <c r="H462" s="138">
        <v>2</v>
      </c>
      <c r="I462" s="130">
        <v>394.7</v>
      </c>
      <c r="J462" s="130">
        <v>234.3</v>
      </c>
      <c r="K462" s="130">
        <v>234.3</v>
      </c>
      <c r="L462" s="139">
        <v>12</v>
      </c>
      <c r="M462" s="138" t="s">
        <v>271</v>
      </c>
      <c r="N462" s="138" t="s">
        <v>272</v>
      </c>
      <c r="O462" s="136" t="s">
        <v>274</v>
      </c>
      <c r="P462" s="130">
        <v>1675485.4700000002</v>
      </c>
      <c r="Q462" s="130">
        <v>0</v>
      </c>
      <c r="R462" s="130">
        <v>0</v>
      </c>
      <c r="S462" s="130">
        <f t="shared" si="127"/>
        <v>1675485.4700000002</v>
      </c>
      <c r="T462" s="130">
        <f t="shared" si="128"/>
        <v>4244.9593868761094</v>
      </c>
      <c r="U462" s="130">
        <v>5376.1248036483403</v>
      </c>
    </row>
    <row r="463" spans="1:21" s="64" customFormat="1" ht="36" customHeight="1" x14ac:dyDescent="0.9">
      <c r="B463" s="94" t="s">
        <v>919</v>
      </c>
      <c r="C463" s="126"/>
      <c r="D463" s="138" t="s">
        <v>934</v>
      </c>
      <c r="E463" s="138" t="s">
        <v>934</v>
      </c>
      <c r="F463" s="138" t="s">
        <v>934</v>
      </c>
      <c r="G463" s="138" t="s">
        <v>934</v>
      </c>
      <c r="H463" s="138" t="s">
        <v>934</v>
      </c>
      <c r="I463" s="129">
        <f>I464</f>
        <v>609.5</v>
      </c>
      <c r="J463" s="129">
        <f t="shared" ref="J463:L463" si="129">J464</f>
        <v>564.4</v>
      </c>
      <c r="K463" s="129">
        <f t="shared" si="129"/>
        <v>202</v>
      </c>
      <c r="L463" s="139">
        <f t="shared" si="129"/>
        <v>16</v>
      </c>
      <c r="M463" s="138" t="s">
        <v>934</v>
      </c>
      <c r="N463" s="138" t="s">
        <v>934</v>
      </c>
      <c r="O463" s="136" t="s">
        <v>934</v>
      </c>
      <c r="P463" s="130">
        <v>2521615.3599999999</v>
      </c>
      <c r="Q463" s="130">
        <f t="shared" ref="Q463:S463" si="130">Q464</f>
        <v>0</v>
      </c>
      <c r="R463" s="130">
        <f t="shared" si="130"/>
        <v>492144.32</v>
      </c>
      <c r="S463" s="130">
        <f t="shared" si="130"/>
        <v>2029471.0399999998</v>
      </c>
      <c r="T463" s="130">
        <f t="shared" si="128"/>
        <v>4137.1868088597212</v>
      </c>
      <c r="U463" s="130">
        <f>U464</f>
        <v>5076.4010303527484</v>
      </c>
    </row>
    <row r="464" spans="1:21" s="64" customFormat="1" ht="36" customHeight="1" x14ac:dyDescent="0.9">
      <c r="A464" s="64">
        <v>1</v>
      </c>
      <c r="B464" s="96">
        <f>SUBTOTAL(103,$A$16:A464)</f>
        <v>408</v>
      </c>
      <c r="C464" s="94" t="s">
        <v>1324</v>
      </c>
      <c r="D464" s="138">
        <v>1917</v>
      </c>
      <c r="E464" s="138"/>
      <c r="F464" s="167" t="s">
        <v>273</v>
      </c>
      <c r="G464" s="138">
        <v>2</v>
      </c>
      <c r="H464" s="138">
        <v>1</v>
      </c>
      <c r="I464" s="130">
        <v>609.5</v>
      </c>
      <c r="J464" s="130">
        <v>564.4</v>
      </c>
      <c r="K464" s="130">
        <v>202</v>
      </c>
      <c r="L464" s="139">
        <v>16</v>
      </c>
      <c r="M464" s="138" t="s">
        <v>271</v>
      </c>
      <c r="N464" s="138" t="s">
        <v>272</v>
      </c>
      <c r="O464" s="136" t="s">
        <v>274</v>
      </c>
      <c r="P464" s="130">
        <v>2521615.3599999999</v>
      </c>
      <c r="Q464" s="130">
        <v>0</v>
      </c>
      <c r="R464" s="130">
        <v>492144.32</v>
      </c>
      <c r="S464" s="130">
        <f>P464-Q464-R464</f>
        <v>2029471.0399999998</v>
      </c>
      <c r="T464" s="130">
        <f t="shared" si="128"/>
        <v>4137.1868088597212</v>
      </c>
      <c r="U464" s="130">
        <v>5076.4010303527484</v>
      </c>
    </row>
    <row r="465" spans="1:21" s="64" customFormat="1" ht="36" customHeight="1" x14ac:dyDescent="0.9">
      <c r="B465" s="94" t="s">
        <v>927</v>
      </c>
      <c r="C465" s="94"/>
      <c r="D465" s="138" t="s">
        <v>934</v>
      </c>
      <c r="E465" s="138" t="s">
        <v>934</v>
      </c>
      <c r="F465" s="138" t="s">
        <v>934</v>
      </c>
      <c r="G465" s="138" t="s">
        <v>934</v>
      </c>
      <c r="H465" s="138" t="s">
        <v>934</v>
      </c>
      <c r="I465" s="130">
        <f>I466</f>
        <v>878.6</v>
      </c>
      <c r="J465" s="130">
        <f t="shared" ref="J465:L465" si="131">J466</f>
        <v>516.76</v>
      </c>
      <c r="K465" s="130">
        <f t="shared" si="131"/>
        <v>465.9</v>
      </c>
      <c r="L465" s="140">
        <f t="shared" si="131"/>
        <v>65</v>
      </c>
      <c r="M465" s="138" t="s">
        <v>934</v>
      </c>
      <c r="N465" s="138" t="s">
        <v>934</v>
      </c>
      <c r="O465" s="136" t="s">
        <v>934</v>
      </c>
      <c r="P465" s="130">
        <v>3726576.42</v>
      </c>
      <c r="Q465" s="130">
        <f>Q466</f>
        <v>0</v>
      </c>
      <c r="R465" s="130">
        <f t="shared" ref="R465:S465" si="132">R466</f>
        <v>0</v>
      </c>
      <c r="S465" s="130">
        <f t="shared" si="132"/>
        <v>3726576.42</v>
      </c>
      <c r="T465" s="130">
        <f t="shared" si="128"/>
        <v>4241.4937628044618</v>
      </c>
      <c r="U465" s="130">
        <f>U466</f>
        <v>5621.6034828135671</v>
      </c>
    </row>
    <row r="466" spans="1:21" s="64" customFormat="1" ht="36" customHeight="1" x14ac:dyDescent="0.9">
      <c r="A466" s="64">
        <v>1</v>
      </c>
      <c r="B466" s="96">
        <f>SUBTOTAL(103,$A$16:A466)</f>
        <v>409</v>
      </c>
      <c r="C466" s="94" t="s">
        <v>1650</v>
      </c>
      <c r="D466" s="138">
        <v>1979</v>
      </c>
      <c r="E466" s="138"/>
      <c r="F466" s="167" t="s">
        <v>273</v>
      </c>
      <c r="G466" s="138">
        <v>2</v>
      </c>
      <c r="H466" s="138">
        <v>2</v>
      </c>
      <c r="I466" s="130">
        <v>878.6</v>
      </c>
      <c r="J466" s="130">
        <v>516.76</v>
      </c>
      <c r="K466" s="130">
        <v>465.9</v>
      </c>
      <c r="L466" s="139">
        <v>65</v>
      </c>
      <c r="M466" s="138" t="s">
        <v>271</v>
      </c>
      <c r="N466" s="138" t="s">
        <v>272</v>
      </c>
      <c r="O466" s="136" t="s">
        <v>274</v>
      </c>
      <c r="P466" s="130">
        <v>3726576.42</v>
      </c>
      <c r="Q466" s="130">
        <v>0</v>
      </c>
      <c r="R466" s="130">
        <v>0</v>
      </c>
      <c r="S466" s="130">
        <f>P466-R466-Q466</f>
        <v>3726576.42</v>
      </c>
      <c r="T466" s="130">
        <f t="shared" si="128"/>
        <v>4241.4937628044618</v>
      </c>
      <c r="U466" s="130">
        <v>5621.6034828135671</v>
      </c>
    </row>
    <row r="467" spans="1:21" s="64" customFormat="1" ht="36" customHeight="1" x14ac:dyDescent="0.9">
      <c r="B467" s="94" t="s">
        <v>890</v>
      </c>
      <c r="C467" s="126"/>
      <c r="D467" s="138" t="s">
        <v>934</v>
      </c>
      <c r="E467" s="138" t="s">
        <v>934</v>
      </c>
      <c r="F467" s="138" t="s">
        <v>934</v>
      </c>
      <c r="G467" s="138" t="s">
        <v>934</v>
      </c>
      <c r="H467" s="138" t="s">
        <v>934</v>
      </c>
      <c r="I467" s="129">
        <f>I468</f>
        <v>940.6</v>
      </c>
      <c r="J467" s="129">
        <f t="shared" ref="J467:L467" si="133">J468</f>
        <v>495.6</v>
      </c>
      <c r="K467" s="129">
        <f t="shared" si="133"/>
        <v>495.6</v>
      </c>
      <c r="L467" s="139">
        <f t="shared" si="133"/>
        <v>33</v>
      </c>
      <c r="M467" s="138" t="s">
        <v>934</v>
      </c>
      <c r="N467" s="138" t="s">
        <v>934</v>
      </c>
      <c r="O467" s="136" t="s">
        <v>934</v>
      </c>
      <c r="P467" s="130">
        <v>5198352.66</v>
      </c>
      <c r="Q467" s="130">
        <f t="shared" ref="Q467:S467" si="134">Q468</f>
        <v>0</v>
      </c>
      <c r="R467" s="130">
        <f t="shared" si="134"/>
        <v>0</v>
      </c>
      <c r="S467" s="130">
        <f t="shared" si="134"/>
        <v>5198352.66</v>
      </c>
      <c r="T467" s="130">
        <f t="shared" si="128"/>
        <v>5526.6347650435891</v>
      </c>
      <c r="U467" s="130">
        <f>U468</f>
        <v>5825.0488411652132</v>
      </c>
    </row>
    <row r="468" spans="1:21" s="64" customFormat="1" ht="36" customHeight="1" x14ac:dyDescent="0.9">
      <c r="A468" s="64">
        <v>1</v>
      </c>
      <c r="B468" s="96">
        <f>SUBTOTAL(103,$A$16:A468)</f>
        <v>410</v>
      </c>
      <c r="C468" s="94" t="s">
        <v>232</v>
      </c>
      <c r="D468" s="138">
        <v>1995</v>
      </c>
      <c r="E468" s="138"/>
      <c r="F468" s="167" t="s">
        <v>273</v>
      </c>
      <c r="G468" s="138">
        <v>2</v>
      </c>
      <c r="H468" s="138">
        <v>3</v>
      </c>
      <c r="I468" s="130">
        <v>940.6</v>
      </c>
      <c r="J468" s="130">
        <v>495.6</v>
      </c>
      <c r="K468" s="130">
        <v>495.6</v>
      </c>
      <c r="L468" s="139">
        <v>33</v>
      </c>
      <c r="M468" s="138" t="s">
        <v>271</v>
      </c>
      <c r="N468" s="138" t="s">
        <v>275</v>
      </c>
      <c r="O468" s="136" t="s">
        <v>744</v>
      </c>
      <c r="P468" s="130">
        <v>5198352.66</v>
      </c>
      <c r="Q468" s="130">
        <v>0</v>
      </c>
      <c r="R468" s="130">
        <v>0</v>
      </c>
      <c r="S468" s="130">
        <f>P468-Q468-R468</f>
        <v>5198352.66</v>
      </c>
      <c r="T468" s="130">
        <f t="shared" si="128"/>
        <v>5526.6347650435891</v>
      </c>
      <c r="U468" s="130">
        <v>5825.0488411652132</v>
      </c>
    </row>
    <row r="469" spans="1:21" s="64" customFormat="1" ht="36" customHeight="1" x14ac:dyDescent="0.9">
      <c r="B469" s="94" t="s">
        <v>891</v>
      </c>
      <c r="C469" s="94"/>
      <c r="D469" s="138" t="s">
        <v>934</v>
      </c>
      <c r="E469" s="138" t="s">
        <v>934</v>
      </c>
      <c r="F469" s="138" t="s">
        <v>934</v>
      </c>
      <c r="G469" s="138" t="s">
        <v>934</v>
      </c>
      <c r="H469" s="138" t="s">
        <v>934</v>
      </c>
      <c r="I469" s="129">
        <f>I470</f>
        <v>320</v>
      </c>
      <c r="J469" s="129">
        <f t="shared" ref="J469:L469" si="135">J470</f>
        <v>282.42</v>
      </c>
      <c r="K469" s="129">
        <f t="shared" si="135"/>
        <v>282.42</v>
      </c>
      <c r="L469" s="139">
        <f t="shared" si="135"/>
        <v>19</v>
      </c>
      <c r="M469" s="138" t="s">
        <v>934</v>
      </c>
      <c r="N469" s="138" t="s">
        <v>934</v>
      </c>
      <c r="O469" s="136" t="s">
        <v>934</v>
      </c>
      <c r="P469" s="130">
        <v>1821119.2799999998</v>
      </c>
      <c r="Q469" s="130">
        <f t="shared" ref="Q469:S469" si="136">Q470</f>
        <v>0</v>
      </c>
      <c r="R469" s="130">
        <f t="shared" si="136"/>
        <v>0</v>
      </c>
      <c r="S469" s="130">
        <f t="shared" si="136"/>
        <v>1821119.2799999998</v>
      </c>
      <c r="T469" s="130">
        <f t="shared" si="128"/>
        <v>5690.9977499999995</v>
      </c>
      <c r="U469" s="130">
        <f t="shared" ref="U469:U470" si="137">T469</f>
        <v>5690.9977499999995</v>
      </c>
    </row>
    <row r="470" spans="1:21" s="64" customFormat="1" ht="36" customHeight="1" x14ac:dyDescent="0.9">
      <c r="A470" s="64">
        <v>1</v>
      </c>
      <c r="B470" s="96">
        <f>SUBTOTAL(103,$A$16:A470)</f>
        <v>411</v>
      </c>
      <c r="C470" s="94" t="s">
        <v>235</v>
      </c>
      <c r="D470" s="138">
        <v>1975</v>
      </c>
      <c r="E470" s="138"/>
      <c r="F470" s="167" t="s">
        <v>273</v>
      </c>
      <c r="G470" s="138">
        <v>2</v>
      </c>
      <c r="H470" s="138">
        <v>1</v>
      </c>
      <c r="I470" s="130">
        <v>320</v>
      </c>
      <c r="J470" s="130">
        <v>282.42</v>
      </c>
      <c r="K470" s="130">
        <v>282.42</v>
      </c>
      <c r="L470" s="139">
        <v>19</v>
      </c>
      <c r="M470" s="138" t="s">
        <v>271</v>
      </c>
      <c r="N470" s="138" t="s">
        <v>275</v>
      </c>
      <c r="O470" s="136" t="s">
        <v>744</v>
      </c>
      <c r="P470" s="130">
        <v>1821119.2799999998</v>
      </c>
      <c r="Q470" s="130">
        <v>0</v>
      </c>
      <c r="R470" s="130">
        <v>0</v>
      </c>
      <c r="S470" s="130">
        <f>P470-Q470-R470</f>
        <v>1821119.2799999998</v>
      </c>
      <c r="T470" s="130">
        <f t="shared" si="128"/>
        <v>5690.9977499999995</v>
      </c>
      <c r="U470" s="130">
        <f t="shared" si="137"/>
        <v>5690.9977499999995</v>
      </c>
    </row>
    <row r="471" spans="1:21" s="64" customFormat="1" ht="36" customHeight="1" x14ac:dyDescent="0.9">
      <c r="B471" s="94" t="s">
        <v>1362</v>
      </c>
      <c r="C471" s="94"/>
      <c r="D471" s="138" t="s">
        <v>934</v>
      </c>
      <c r="E471" s="138" t="s">
        <v>934</v>
      </c>
      <c r="F471" s="138" t="s">
        <v>934</v>
      </c>
      <c r="G471" s="138" t="s">
        <v>934</v>
      </c>
      <c r="H471" s="138" t="s">
        <v>934</v>
      </c>
      <c r="I471" s="129">
        <f>I472</f>
        <v>953.9</v>
      </c>
      <c r="J471" s="129">
        <f t="shared" ref="J471:L471" si="138">J472</f>
        <v>857.7</v>
      </c>
      <c r="K471" s="129">
        <f t="shared" si="138"/>
        <v>857.7</v>
      </c>
      <c r="L471" s="139">
        <f t="shared" si="138"/>
        <v>28</v>
      </c>
      <c r="M471" s="138" t="s">
        <v>934</v>
      </c>
      <c r="N471" s="138" t="s">
        <v>934</v>
      </c>
      <c r="O471" s="136" t="s">
        <v>934</v>
      </c>
      <c r="P471" s="130">
        <v>4609049.76</v>
      </c>
      <c r="Q471" s="130">
        <f t="shared" ref="Q471:S471" si="139">Q472</f>
        <v>0</v>
      </c>
      <c r="R471" s="130">
        <f t="shared" si="139"/>
        <v>0</v>
      </c>
      <c r="S471" s="130">
        <f t="shared" si="139"/>
        <v>4609049.76</v>
      </c>
      <c r="T471" s="130">
        <f t="shared" si="128"/>
        <v>4831.7955341230736</v>
      </c>
      <c r="U471" s="130">
        <f>U472</f>
        <v>5640.4857951567255</v>
      </c>
    </row>
    <row r="472" spans="1:21" s="64" customFormat="1" ht="36" customHeight="1" x14ac:dyDescent="0.9">
      <c r="A472" s="64">
        <v>1</v>
      </c>
      <c r="B472" s="96">
        <f>SUBTOTAL(103,$A$16:A472)</f>
        <v>412</v>
      </c>
      <c r="C472" s="94" t="s">
        <v>1363</v>
      </c>
      <c r="D472" s="138">
        <v>1984</v>
      </c>
      <c r="E472" s="138"/>
      <c r="F472" s="167" t="s">
        <v>273</v>
      </c>
      <c r="G472" s="138">
        <v>2</v>
      </c>
      <c r="H472" s="138">
        <v>3</v>
      </c>
      <c r="I472" s="130">
        <v>953.9</v>
      </c>
      <c r="J472" s="130">
        <v>857.7</v>
      </c>
      <c r="K472" s="130">
        <v>857.7</v>
      </c>
      <c r="L472" s="139">
        <v>28</v>
      </c>
      <c r="M472" s="138" t="s">
        <v>271</v>
      </c>
      <c r="N472" s="138" t="s">
        <v>272</v>
      </c>
      <c r="O472" s="136" t="s">
        <v>274</v>
      </c>
      <c r="P472" s="130">
        <v>4609049.76</v>
      </c>
      <c r="Q472" s="130">
        <v>0</v>
      </c>
      <c r="R472" s="130">
        <v>0</v>
      </c>
      <c r="S472" s="130">
        <f>P472-Q472-R472</f>
        <v>4609049.76</v>
      </c>
      <c r="T472" s="130">
        <f t="shared" si="128"/>
        <v>4831.7955341230736</v>
      </c>
      <c r="U472" s="130">
        <v>5640.4857951567255</v>
      </c>
    </row>
    <row r="473" spans="1:21" s="64" customFormat="1" ht="36" customHeight="1" x14ac:dyDescent="0.9">
      <c r="B473" s="94" t="s">
        <v>892</v>
      </c>
      <c r="C473" s="126"/>
      <c r="D473" s="138" t="s">
        <v>934</v>
      </c>
      <c r="E473" s="138" t="s">
        <v>934</v>
      </c>
      <c r="F473" s="138" t="s">
        <v>934</v>
      </c>
      <c r="G473" s="138" t="s">
        <v>934</v>
      </c>
      <c r="H473" s="138" t="s">
        <v>934</v>
      </c>
      <c r="I473" s="129">
        <f>I474</f>
        <v>1446.38</v>
      </c>
      <c r="J473" s="129">
        <f t="shared" ref="J473:L473" si="140">J474</f>
        <v>996.18</v>
      </c>
      <c r="K473" s="129">
        <f t="shared" si="140"/>
        <v>229.3</v>
      </c>
      <c r="L473" s="139">
        <f t="shared" si="140"/>
        <v>93</v>
      </c>
      <c r="M473" s="138" t="s">
        <v>934</v>
      </c>
      <c r="N473" s="138" t="s">
        <v>934</v>
      </c>
      <c r="O473" s="136" t="s">
        <v>934</v>
      </c>
      <c r="P473" s="130">
        <v>5368567.4000000004</v>
      </c>
      <c r="Q473" s="130">
        <f t="shared" ref="Q473:S473" si="141">Q474</f>
        <v>0</v>
      </c>
      <c r="R473" s="130">
        <f t="shared" si="141"/>
        <v>0</v>
      </c>
      <c r="S473" s="130">
        <f t="shared" si="141"/>
        <v>5368567.4000000004</v>
      </c>
      <c r="T473" s="130">
        <f t="shared" si="128"/>
        <v>3711.7267937886309</v>
      </c>
      <c r="U473" s="130">
        <f>U474</f>
        <v>4096.1232871029742</v>
      </c>
    </row>
    <row r="474" spans="1:21" s="64" customFormat="1" ht="36" customHeight="1" x14ac:dyDescent="0.9">
      <c r="A474" s="64">
        <v>1</v>
      </c>
      <c r="B474" s="96">
        <f>SUBTOTAL(103,$A$16:A474)</f>
        <v>413</v>
      </c>
      <c r="C474" s="94" t="s">
        <v>141</v>
      </c>
      <c r="D474" s="138">
        <v>1983</v>
      </c>
      <c r="E474" s="138"/>
      <c r="F474" s="167" t="s">
        <v>273</v>
      </c>
      <c r="G474" s="138">
        <v>2</v>
      </c>
      <c r="H474" s="138">
        <v>1</v>
      </c>
      <c r="I474" s="130">
        <v>1446.38</v>
      </c>
      <c r="J474" s="130">
        <v>996.18</v>
      </c>
      <c r="K474" s="130">
        <v>229.3</v>
      </c>
      <c r="L474" s="139">
        <v>93</v>
      </c>
      <c r="M474" s="138" t="s">
        <v>271</v>
      </c>
      <c r="N474" s="138" t="s">
        <v>275</v>
      </c>
      <c r="O474" s="136" t="s">
        <v>1055</v>
      </c>
      <c r="P474" s="130">
        <v>5368567.4000000004</v>
      </c>
      <c r="Q474" s="130">
        <v>0</v>
      </c>
      <c r="R474" s="130">
        <v>0</v>
      </c>
      <c r="S474" s="130">
        <f>P474-Q474-R474</f>
        <v>5368567.4000000004</v>
      </c>
      <c r="T474" s="130">
        <f t="shared" si="128"/>
        <v>3711.7267937886309</v>
      </c>
      <c r="U474" s="130">
        <v>4096.1232871029742</v>
      </c>
    </row>
    <row r="475" spans="1:21" s="64" customFormat="1" ht="36" customHeight="1" x14ac:dyDescent="0.9">
      <c r="B475" s="94" t="s">
        <v>893</v>
      </c>
      <c r="C475" s="94"/>
      <c r="D475" s="138" t="s">
        <v>934</v>
      </c>
      <c r="E475" s="138" t="s">
        <v>934</v>
      </c>
      <c r="F475" s="138" t="s">
        <v>934</v>
      </c>
      <c r="G475" s="138" t="s">
        <v>934</v>
      </c>
      <c r="H475" s="138" t="s">
        <v>934</v>
      </c>
      <c r="I475" s="129">
        <f>I476</f>
        <v>676.3</v>
      </c>
      <c r="J475" s="129">
        <f t="shared" ref="J475:L475" si="142">J476</f>
        <v>631.49</v>
      </c>
      <c r="K475" s="129">
        <f t="shared" si="142"/>
        <v>546.79</v>
      </c>
      <c r="L475" s="139">
        <f t="shared" si="142"/>
        <v>33</v>
      </c>
      <c r="M475" s="138" t="s">
        <v>934</v>
      </c>
      <c r="N475" s="138" t="s">
        <v>934</v>
      </c>
      <c r="O475" s="136" t="s">
        <v>934</v>
      </c>
      <c r="P475" s="130">
        <v>2682382.0500000003</v>
      </c>
      <c r="Q475" s="130">
        <f t="shared" ref="Q475:S475" si="143">Q476</f>
        <v>0</v>
      </c>
      <c r="R475" s="130">
        <f t="shared" si="143"/>
        <v>0</v>
      </c>
      <c r="S475" s="130">
        <f t="shared" si="143"/>
        <v>2682382.0500000003</v>
      </c>
      <c r="T475" s="130">
        <f t="shared" si="128"/>
        <v>3966.2606091971024</v>
      </c>
      <c r="U475" s="130">
        <f>U476</f>
        <v>5623.5124656455928</v>
      </c>
    </row>
    <row r="476" spans="1:21" s="64" customFormat="1" ht="36" customHeight="1" x14ac:dyDescent="0.9">
      <c r="A476" s="64">
        <v>1</v>
      </c>
      <c r="B476" s="96">
        <f>SUBTOTAL(103,$A$16:A476)</f>
        <v>414</v>
      </c>
      <c r="C476" s="94" t="s">
        <v>146</v>
      </c>
      <c r="D476" s="138">
        <v>1965</v>
      </c>
      <c r="E476" s="138"/>
      <c r="F476" s="167" t="s">
        <v>273</v>
      </c>
      <c r="G476" s="138">
        <v>2</v>
      </c>
      <c r="H476" s="138">
        <v>2</v>
      </c>
      <c r="I476" s="130">
        <v>676.3</v>
      </c>
      <c r="J476" s="130">
        <v>631.49</v>
      </c>
      <c r="K476" s="130">
        <v>546.79</v>
      </c>
      <c r="L476" s="139">
        <v>33</v>
      </c>
      <c r="M476" s="138" t="s">
        <v>271</v>
      </c>
      <c r="N476" s="138" t="s">
        <v>275</v>
      </c>
      <c r="O476" s="136" t="s">
        <v>294</v>
      </c>
      <c r="P476" s="130">
        <v>2682382.0500000003</v>
      </c>
      <c r="Q476" s="130">
        <v>0</v>
      </c>
      <c r="R476" s="130">
        <v>0</v>
      </c>
      <c r="S476" s="130">
        <f>P476-Q476-R476</f>
        <v>2682382.0500000003</v>
      </c>
      <c r="T476" s="130">
        <f t="shared" si="128"/>
        <v>3966.2606091971024</v>
      </c>
      <c r="U476" s="130">
        <v>5623.5124656455928</v>
      </c>
    </row>
    <row r="477" spans="1:21" s="64" customFormat="1" ht="36" customHeight="1" x14ac:dyDescent="0.9">
      <c r="B477" s="94" t="s">
        <v>894</v>
      </c>
      <c r="C477" s="94"/>
      <c r="D477" s="138" t="s">
        <v>934</v>
      </c>
      <c r="E477" s="138" t="s">
        <v>934</v>
      </c>
      <c r="F477" s="138" t="s">
        <v>934</v>
      </c>
      <c r="G477" s="138" t="s">
        <v>934</v>
      </c>
      <c r="H477" s="138" t="s">
        <v>934</v>
      </c>
      <c r="I477" s="129">
        <f>SUM(I478:I482)</f>
        <v>3415.58</v>
      </c>
      <c r="J477" s="129">
        <f>SUM(J478:J482)</f>
        <v>3004.1000000000004</v>
      </c>
      <c r="K477" s="129">
        <f>SUM(K478:K482)</f>
        <v>2955.3</v>
      </c>
      <c r="L477" s="139">
        <f>SUM(L478:L482)</f>
        <v>141</v>
      </c>
      <c r="M477" s="138" t="s">
        <v>934</v>
      </c>
      <c r="N477" s="138" t="s">
        <v>934</v>
      </c>
      <c r="O477" s="136" t="s">
        <v>934</v>
      </c>
      <c r="P477" s="130">
        <v>11742480.740000002</v>
      </c>
      <c r="Q477" s="130">
        <f>SUM(Q478:Q482)</f>
        <v>0</v>
      </c>
      <c r="R477" s="130">
        <f>SUM(R478:R482)</f>
        <v>0</v>
      </c>
      <c r="S477" s="130">
        <f>SUM(S478:S482)</f>
        <v>11742480.740000002</v>
      </c>
      <c r="T477" s="130">
        <f t="shared" si="128"/>
        <v>3437.9170565467657</v>
      </c>
      <c r="U477" s="130">
        <f>MAX(U478:U482)</f>
        <v>7150.0755310464601</v>
      </c>
    </row>
    <row r="478" spans="1:21" s="64" customFormat="1" ht="36" customHeight="1" x14ac:dyDescent="0.9">
      <c r="A478" s="64">
        <v>1</v>
      </c>
      <c r="B478" s="96">
        <f>SUBTOTAL(103,$A$16:A478)</f>
        <v>415</v>
      </c>
      <c r="C478" s="94" t="s">
        <v>144</v>
      </c>
      <c r="D478" s="138">
        <v>1983</v>
      </c>
      <c r="E478" s="138"/>
      <c r="F478" s="167" t="s">
        <v>273</v>
      </c>
      <c r="G478" s="138">
        <v>3</v>
      </c>
      <c r="H478" s="138">
        <v>2</v>
      </c>
      <c r="I478" s="130">
        <v>1387.1</v>
      </c>
      <c r="J478" s="130">
        <v>1285.0999999999999</v>
      </c>
      <c r="K478" s="130">
        <v>1285.0999999999999</v>
      </c>
      <c r="L478" s="139">
        <v>57</v>
      </c>
      <c r="M478" s="138" t="s">
        <v>271</v>
      </c>
      <c r="N478" s="138" t="s">
        <v>275</v>
      </c>
      <c r="O478" s="136" t="s">
        <v>295</v>
      </c>
      <c r="P478" s="130">
        <v>3824431.2399999998</v>
      </c>
      <c r="Q478" s="130">
        <v>0</v>
      </c>
      <c r="R478" s="130">
        <v>0</v>
      </c>
      <c r="S478" s="130">
        <f t="shared" ref="S478:S482" si="144">P478-Q478-R478</f>
        <v>3824431.2399999998</v>
      </c>
      <c r="T478" s="130">
        <f t="shared" si="128"/>
        <v>2757.1416912983923</v>
      </c>
      <c r="U478" s="130">
        <v>2757.1416912983923</v>
      </c>
    </row>
    <row r="479" spans="1:21" s="64" customFormat="1" ht="36" customHeight="1" x14ac:dyDescent="0.9">
      <c r="A479" s="64">
        <v>1</v>
      </c>
      <c r="B479" s="96">
        <f>SUBTOTAL(103,$A$16:A479)</f>
        <v>416</v>
      </c>
      <c r="C479" s="94" t="s">
        <v>145</v>
      </c>
      <c r="D479" s="138">
        <v>1964</v>
      </c>
      <c r="E479" s="138"/>
      <c r="F479" s="167" t="s">
        <v>273</v>
      </c>
      <c r="G479" s="138">
        <v>2</v>
      </c>
      <c r="H479" s="138">
        <v>1</v>
      </c>
      <c r="I479" s="130">
        <v>337.2</v>
      </c>
      <c r="J479" s="130">
        <v>313.2</v>
      </c>
      <c r="K479" s="130">
        <v>313.2</v>
      </c>
      <c r="L479" s="139">
        <v>19</v>
      </c>
      <c r="M479" s="138" t="s">
        <v>271</v>
      </c>
      <c r="N479" s="138" t="s">
        <v>275</v>
      </c>
      <c r="O479" s="136" t="s">
        <v>295</v>
      </c>
      <c r="P479" s="130">
        <v>1510400.1400000001</v>
      </c>
      <c r="Q479" s="130">
        <v>0</v>
      </c>
      <c r="R479" s="130">
        <v>0</v>
      </c>
      <c r="S479" s="130">
        <f t="shared" si="144"/>
        <v>1510400.1400000001</v>
      </c>
      <c r="T479" s="130">
        <f t="shared" si="128"/>
        <v>4479.2412218268091</v>
      </c>
      <c r="U479" s="130">
        <v>5654.6206524317904</v>
      </c>
    </row>
    <row r="480" spans="1:21" s="64" customFormat="1" ht="36" customHeight="1" x14ac:dyDescent="0.9">
      <c r="A480" s="64">
        <v>1</v>
      </c>
      <c r="B480" s="96">
        <f>SUBTOTAL(103,$A$16:A480)</f>
        <v>417</v>
      </c>
      <c r="C480" s="94" t="s">
        <v>1333</v>
      </c>
      <c r="D480" s="138">
        <v>1962</v>
      </c>
      <c r="E480" s="138"/>
      <c r="F480" s="167" t="s">
        <v>273</v>
      </c>
      <c r="G480" s="138">
        <v>2</v>
      </c>
      <c r="H480" s="138">
        <v>1</v>
      </c>
      <c r="I480" s="130">
        <v>658.78</v>
      </c>
      <c r="J480" s="130">
        <v>373.3</v>
      </c>
      <c r="K480" s="130">
        <v>373.3</v>
      </c>
      <c r="L480" s="139">
        <v>21</v>
      </c>
      <c r="M480" s="138" t="s">
        <v>271</v>
      </c>
      <c r="N480" s="138" t="s">
        <v>272</v>
      </c>
      <c r="O480" s="136" t="s">
        <v>274</v>
      </c>
      <c r="P480" s="130">
        <v>1911218.1</v>
      </c>
      <c r="Q480" s="130">
        <v>0</v>
      </c>
      <c r="R480" s="130">
        <v>0</v>
      </c>
      <c r="S480" s="130">
        <f t="shared" si="144"/>
        <v>1911218.1</v>
      </c>
      <c r="T480" s="130">
        <f t="shared" si="128"/>
        <v>2901.1477276177179</v>
      </c>
      <c r="U480" s="130">
        <v>3454.4905643765755</v>
      </c>
    </row>
    <row r="481" spans="1:21" s="64" customFormat="1" ht="36" customHeight="1" x14ac:dyDescent="0.9">
      <c r="A481" s="64">
        <v>1</v>
      </c>
      <c r="B481" s="96">
        <f>SUBTOTAL(103,$A$16:A481)</f>
        <v>418</v>
      </c>
      <c r="C481" s="94" t="s">
        <v>1334</v>
      </c>
      <c r="D481" s="138">
        <v>1961</v>
      </c>
      <c r="E481" s="138"/>
      <c r="F481" s="167" t="s">
        <v>273</v>
      </c>
      <c r="G481" s="138">
        <v>2</v>
      </c>
      <c r="H481" s="138">
        <v>1</v>
      </c>
      <c r="I481" s="130">
        <v>230.3</v>
      </c>
      <c r="J481" s="130">
        <v>230.3</v>
      </c>
      <c r="K481" s="130">
        <v>181.5</v>
      </c>
      <c r="L481" s="139">
        <v>8</v>
      </c>
      <c r="M481" s="138" t="s">
        <v>271</v>
      </c>
      <c r="N481" s="138" t="s">
        <v>275</v>
      </c>
      <c r="O481" s="136" t="s">
        <v>295</v>
      </c>
      <c r="P481" s="130">
        <v>1517864.1500000001</v>
      </c>
      <c r="Q481" s="130">
        <v>0</v>
      </c>
      <c r="R481" s="130">
        <v>0</v>
      </c>
      <c r="S481" s="130">
        <f t="shared" si="144"/>
        <v>1517864.1500000001</v>
      </c>
      <c r="T481" s="130">
        <f t="shared" si="128"/>
        <v>6590.812635692575</v>
      </c>
      <c r="U481" s="130">
        <v>7150.0755310464601</v>
      </c>
    </row>
    <row r="482" spans="1:21" s="64" customFormat="1" ht="36" customHeight="1" x14ac:dyDescent="0.9">
      <c r="A482" s="64">
        <v>1</v>
      </c>
      <c r="B482" s="96">
        <f>SUBTOTAL(103,$A$16:A482)</f>
        <v>419</v>
      </c>
      <c r="C482" s="94" t="s">
        <v>1369</v>
      </c>
      <c r="D482" s="138">
        <v>1974</v>
      </c>
      <c r="E482" s="138"/>
      <c r="F482" s="167" t="s">
        <v>273</v>
      </c>
      <c r="G482" s="138">
        <v>2</v>
      </c>
      <c r="H482" s="138">
        <v>2</v>
      </c>
      <c r="I482" s="130">
        <v>802.2</v>
      </c>
      <c r="J482" s="130">
        <v>802.2</v>
      </c>
      <c r="K482" s="130">
        <v>802.2</v>
      </c>
      <c r="L482" s="139">
        <v>36</v>
      </c>
      <c r="M482" s="138" t="s">
        <v>271</v>
      </c>
      <c r="N482" s="138" t="s">
        <v>272</v>
      </c>
      <c r="O482" s="136" t="s">
        <v>274</v>
      </c>
      <c r="P482" s="130">
        <v>2978567.1100000003</v>
      </c>
      <c r="Q482" s="130">
        <v>0</v>
      </c>
      <c r="R482" s="130">
        <v>0</v>
      </c>
      <c r="S482" s="130">
        <f t="shared" si="144"/>
        <v>2978567.1100000003</v>
      </c>
      <c r="T482" s="130">
        <f t="shared" si="128"/>
        <v>3712.9981426078289</v>
      </c>
      <c r="U482" s="130">
        <v>4497.5449114933926</v>
      </c>
    </row>
    <row r="483" spans="1:21" s="64" customFormat="1" ht="36" customHeight="1" x14ac:dyDescent="0.9">
      <c r="B483" s="94" t="s">
        <v>895</v>
      </c>
      <c r="C483" s="94"/>
      <c r="D483" s="138" t="s">
        <v>934</v>
      </c>
      <c r="E483" s="138" t="s">
        <v>934</v>
      </c>
      <c r="F483" s="138" t="s">
        <v>934</v>
      </c>
      <c r="G483" s="138" t="s">
        <v>934</v>
      </c>
      <c r="H483" s="138" t="s">
        <v>934</v>
      </c>
      <c r="I483" s="129">
        <f>SUM(I484:I494)</f>
        <v>39848.200000000004</v>
      </c>
      <c r="J483" s="129">
        <f t="shared" ref="J483:L483" si="145">SUM(J484:J494)</f>
        <v>19167.72</v>
      </c>
      <c r="K483" s="129">
        <f t="shared" si="145"/>
        <v>30272.280000000002</v>
      </c>
      <c r="L483" s="139">
        <f t="shared" si="145"/>
        <v>1332</v>
      </c>
      <c r="M483" s="138" t="s">
        <v>934</v>
      </c>
      <c r="N483" s="138" t="s">
        <v>934</v>
      </c>
      <c r="O483" s="136" t="s">
        <v>934</v>
      </c>
      <c r="P483" s="129">
        <v>43274846.739999995</v>
      </c>
      <c r="Q483" s="129">
        <f t="shared" ref="Q483:S483" si="146">SUM(Q484:Q494)</f>
        <v>0</v>
      </c>
      <c r="R483" s="129">
        <f t="shared" si="146"/>
        <v>0</v>
      </c>
      <c r="S483" s="129">
        <f t="shared" si="146"/>
        <v>43274846.739999995</v>
      </c>
      <c r="T483" s="130">
        <f t="shared" si="128"/>
        <v>1085.9925100757371</v>
      </c>
      <c r="U483" s="130">
        <f>MAX(U484:U494)</f>
        <v>5740.0224090252705</v>
      </c>
    </row>
    <row r="484" spans="1:21" s="64" customFormat="1" ht="36" customHeight="1" x14ac:dyDescent="0.9">
      <c r="A484" s="64">
        <v>1</v>
      </c>
      <c r="B484" s="96">
        <f>SUBTOTAL(103,$A$16:A484)</f>
        <v>420</v>
      </c>
      <c r="C484" s="94" t="s">
        <v>147</v>
      </c>
      <c r="D484" s="138">
        <v>1976</v>
      </c>
      <c r="E484" s="138"/>
      <c r="F484" s="167" t="s">
        <v>293</v>
      </c>
      <c r="G484" s="138">
        <v>5</v>
      </c>
      <c r="H484" s="138">
        <v>8</v>
      </c>
      <c r="I484" s="130">
        <v>8133.81</v>
      </c>
      <c r="J484" s="130">
        <v>3519.76</v>
      </c>
      <c r="K484" s="130">
        <v>322.68</v>
      </c>
      <c r="L484" s="139">
        <v>200</v>
      </c>
      <c r="M484" s="138" t="s">
        <v>271</v>
      </c>
      <c r="N484" s="138" t="s">
        <v>275</v>
      </c>
      <c r="O484" s="136" t="s">
        <v>296</v>
      </c>
      <c r="P484" s="130">
        <v>5692834.5599999996</v>
      </c>
      <c r="Q484" s="130">
        <v>0</v>
      </c>
      <c r="R484" s="130">
        <v>0</v>
      </c>
      <c r="S484" s="130">
        <f t="shared" ref="S484:S491" si="147">P484-Q484-R484</f>
        <v>5692834.5599999996</v>
      </c>
      <c r="T484" s="130">
        <f t="shared" si="128"/>
        <v>699.89765681765368</v>
      </c>
      <c r="U484" s="130">
        <v>1175.6962594159438</v>
      </c>
    </row>
    <row r="485" spans="1:21" s="64" customFormat="1" ht="36" customHeight="1" x14ac:dyDescent="0.9">
      <c r="A485" s="64">
        <v>1</v>
      </c>
      <c r="B485" s="96">
        <f>SUBTOTAL(103,$A$16:A485)</f>
        <v>421</v>
      </c>
      <c r="C485" s="94" t="s">
        <v>142</v>
      </c>
      <c r="D485" s="138">
        <v>1969</v>
      </c>
      <c r="E485" s="138"/>
      <c r="F485" s="167" t="s">
        <v>293</v>
      </c>
      <c r="G485" s="138">
        <v>5</v>
      </c>
      <c r="H485" s="138">
        <v>5</v>
      </c>
      <c r="I485" s="130">
        <v>7171.2</v>
      </c>
      <c r="J485" s="130">
        <v>2897.5</v>
      </c>
      <c r="K485" s="130">
        <v>181.3</v>
      </c>
      <c r="L485" s="139">
        <v>156</v>
      </c>
      <c r="M485" s="138" t="s">
        <v>271</v>
      </c>
      <c r="N485" s="138" t="s">
        <v>275</v>
      </c>
      <c r="O485" s="136" t="s">
        <v>296</v>
      </c>
      <c r="P485" s="130">
        <v>5129422.3</v>
      </c>
      <c r="Q485" s="130">
        <v>0</v>
      </c>
      <c r="R485" s="130">
        <v>0</v>
      </c>
      <c r="S485" s="130">
        <f t="shared" si="147"/>
        <v>5129422.3</v>
      </c>
      <c r="T485" s="130">
        <f t="shared" si="128"/>
        <v>715.2808874386435</v>
      </c>
      <c r="U485" s="130">
        <v>961.04200133868812</v>
      </c>
    </row>
    <row r="486" spans="1:21" s="64" customFormat="1" ht="36" customHeight="1" x14ac:dyDescent="0.9">
      <c r="A486" s="64">
        <v>1</v>
      </c>
      <c r="B486" s="96">
        <f>SUBTOTAL(103,$A$16:A486)</f>
        <v>422</v>
      </c>
      <c r="C486" s="94" t="s">
        <v>143</v>
      </c>
      <c r="D486" s="138">
        <v>1987</v>
      </c>
      <c r="E486" s="138"/>
      <c r="F486" s="167" t="s">
        <v>293</v>
      </c>
      <c r="G486" s="138">
        <v>5</v>
      </c>
      <c r="H486" s="138">
        <v>7</v>
      </c>
      <c r="I486" s="130">
        <v>7649.2</v>
      </c>
      <c r="J486" s="130">
        <v>3077.1</v>
      </c>
      <c r="K486" s="130">
        <v>260.8</v>
      </c>
      <c r="L486" s="139">
        <v>237</v>
      </c>
      <c r="M486" s="138" t="s">
        <v>271</v>
      </c>
      <c r="N486" s="138" t="s">
        <v>275</v>
      </c>
      <c r="O486" s="136" t="s">
        <v>296</v>
      </c>
      <c r="P486" s="130">
        <v>5643841.1999999993</v>
      </c>
      <c r="Q486" s="130">
        <v>0</v>
      </c>
      <c r="R486" s="130">
        <v>0</v>
      </c>
      <c r="S486" s="130">
        <f t="shared" si="147"/>
        <v>5643841.1999999993</v>
      </c>
      <c r="T486" s="130">
        <f t="shared" si="128"/>
        <v>737.83417873764574</v>
      </c>
      <c r="U486" s="130">
        <v>1149.9430397950114</v>
      </c>
    </row>
    <row r="487" spans="1:21" s="64" customFormat="1" ht="36" customHeight="1" x14ac:dyDescent="0.9">
      <c r="A487" s="64">
        <v>1</v>
      </c>
      <c r="B487" s="96">
        <f>SUBTOTAL(103,$A$16:A487)</f>
        <v>423</v>
      </c>
      <c r="C487" s="94" t="s">
        <v>1325</v>
      </c>
      <c r="D487" s="138">
        <v>1963</v>
      </c>
      <c r="E487" s="138"/>
      <c r="F487" s="167" t="s">
        <v>273</v>
      </c>
      <c r="G487" s="138">
        <v>2</v>
      </c>
      <c r="H487" s="138">
        <v>2</v>
      </c>
      <c r="I487" s="130">
        <v>626.52</v>
      </c>
      <c r="J487" s="130">
        <v>622.79999999999995</v>
      </c>
      <c r="K487" s="130">
        <v>582.25</v>
      </c>
      <c r="L487" s="139">
        <v>45</v>
      </c>
      <c r="M487" s="138" t="s">
        <v>271</v>
      </c>
      <c r="N487" s="138" t="s">
        <v>275</v>
      </c>
      <c r="O487" s="136" t="s">
        <v>296</v>
      </c>
      <c r="P487" s="130">
        <v>1804087.71</v>
      </c>
      <c r="Q487" s="130">
        <v>0</v>
      </c>
      <c r="R487" s="130">
        <v>0</v>
      </c>
      <c r="S487" s="130">
        <f t="shared" si="147"/>
        <v>1804087.71</v>
      </c>
      <c r="T487" s="130">
        <f t="shared" si="128"/>
        <v>2879.5373012832792</v>
      </c>
      <c r="U487" s="130">
        <v>3697.55</v>
      </c>
    </row>
    <row r="488" spans="1:21" s="64" customFormat="1" ht="36" customHeight="1" x14ac:dyDescent="0.9">
      <c r="A488" s="64">
        <v>1</v>
      </c>
      <c r="B488" s="96">
        <f>SUBTOTAL(103,$A$16:A488)</f>
        <v>424</v>
      </c>
      <c r="C488" s="94" t="s">
        <v>1326</v>
      </c>
      <c r="D488" s="138" t="s">
        <v>314</v>
      </c>
      <c r="E488" s="138"/>
      <c r="F488" s="167" t="s">
        <v>273</v>
      </c>
      <c r="G488" s="138" t="s">
        <v>311</v>
      </c>
      <c r="H488" s="138" t="s">
        <v>311</v>
      </c>
      <c r="I488" s="130">
        <v>1132.77</v>
      </c>
      <c r="J488" s="130">
        <v>555.08000000000004</v>
      </c>
      <c r="K488" s="130">
        <v>555.08000000000004</v>
      </c>
      <c r="L488" s="139">
        <v>42</v>
      </c>
      <c r="M488" s="138" t="s">
        <v>271</v>
      </c>
      <c r="N488" s="138" t="s">
        <v>275</v>
      </c>
      <c r="O488" s="136" t="s">
        <v>296</v>
      </c>
      <c r="P488" s="130">
        <v>1623736.5999999999</v>
      </c>
      <c r="Q488" s="130">
        <v>0</v>
      </c>
      <c r="R488" s="130">
        <v>0</v>
      </c>
      <c r="S488" s="130">
        <f t="shared" si="147"/>
        <v>1623736.5999999999</v>
      </c>
      <c r="T488" s="130">
        <f t="shared" si="128"/>
        <v>1433.4212593906971</v>
      </c>
      <c r="U488" s="130">
        <v>3697.55</v>
      </c>
    </row>
    <row r="489" spans="1:21" s="64" customFormat="1" ht="36" customHeight="1" x14ac:dyDescent="0.9">
      <c r="A489" s="64">
        <v>1</v>
      </c>
      <c r="B489" s="96">
        <f>SUBTOTAL(103,$A$16:A489)</f>
        <v>425</v>
      </c>
      <c r="C489" s="94" t="s">
        <v>1327</v>
      </c>
      <c r="D489" s="138">
        <v>1964</v>
      </c>
      <c r="E489" s="138"/>
      <c r="F489" s="167" t="s">
        <v>273</v>
      </c>
      <c r="G489" s="138">
        <v>2</v>
      </c>
      <c r="H489" s="138">
        <v>4</v>
      </c>
      <c r="I489" s="130">
        <v>768.3</v>
      </c>
      <c r="J489" s="130">
        <v>281.60000000000002</v>
      </c>
      <c r="K489" s="130">
        <v>253.5</v>
      </c>
      <c r="L489" s="139">
        <v>100</v>
      </c>
      <c r="M489" s="138" t="s">
        <v>271</v>
      </c>
      <c r="N489" s="138" t="s">
        <v>275</v>
      </c>
      <c r="O489" s="136" t="s">
        <v>294</v>
      </c>
      <c r="P489" s="130">
        <v>1225290.95</v>
      </c>
      <c r="Q489" s="130">
        <v>0</v>
      </c>
      <c r="R489" s="130">
        <v>0</v>
      </c>
      <c r="S489" s="130">
        <f t="shared" si="147"/>
        <v>1225290.95</v>
      </c>
      <c r="T489" s="130">
        <f t="shared" si="128"/>
        <v>1594.8079526226734</v>
      </c>
      <c r="U489" s="130">
        <v>2753.19</v>
      </c>
    </row>
    <row r="490" spans="1:21" s="64" customFormat="1" ht="36" customHeight="1" x14ac:dyDescent="0.9">
      <c r="A490" s="64">
        <v>1</v>
      </c>
      <c r="B490" s="96">
        <f>SUBTOTAL(103,$A$16:A490)</f>
        <v>426</v>
      </c>
      <c r="C490" s="94" t="s">
        <v>1355</v>
      </c>
      <c r="D490" s="138">
        <v>1958</v>
      </c>
      <c r="E490" s="138"/>
      <c r="F490" s="167" t="s">
        <v>273</v>
      </c>
      <c r="G490" s="138">
        <v>2</v>
      </c>
      <c r="H490" s="138">
        <v>2</v>
      </c>
      <c r="I490" s="130">
        <v>554</v>
      </c>
      <c r="J490" s="130">
        <v>554</v>
      </c>
      <c r="K490" s="130">
        <v>521.69000000000005</v>
      </c>
      <c r="L490" s="139">
        <v>30</v>
      </c>
      <c r="M490" s="138" t="s">
        <v>271</v>
      </c>
      <c r="N490" s="138" t="s">
        <v>275</v>
      </c>
      <c r="O490" s="136" t="s">
        <v>294</v>
      </c>
      <c r="P490" s="130">
        <v>2883800.01</v>
      </c>
      <c r="Q490" s="130">
        <v>0</v>
      </c>
      <c r="R490" s="130">
        <v>0</v>
      </c>
      <c r="S490" s="130">
        <f t="shared" si="147"/>
        <v>2883800.01</v>
      </c>
      <c r="T490" s="130">
        <f t="shared" si="128"/>
        <v>5205.4151805054144</v>
      </c>
      <c r="U490" s="130">
        <v>5740.0224090252705</v>
      </c>
    </row>
    <row r="491" spans="1:21" s="64" customFormat="1" ht="36" customHeight="1" x14ac:dyDescent="0.9">
      <c r="A491" s="64">
        <v>1</v>
      </c>
      <c r="B491" s="96">
        <f>SUBTOTAL(103,$A$16:A491)</f>
        <v>427</v>
      </c>
      <c r="C491" s="94" t="s">
        <v>1356</v>
      </c>
      <c r="D491" s="138">
        <v>1973</v>
      </c>
      <c r="E491" s="138"/>
      <c r="F491" s="167" t="s">
        <v>273</v>
      </c>
      <c r="G491" s="138">
        <v>5</v>
      </c>
      <c r="H491" s="138">
        <v>3</v>
      </c>
      <c r="I491" s="130">
        <v>3131.46</v>
      </c>
      <c r="J491" s="130">
        <v>3131.28</v>
      </c>
      <c r="K491" s="130">
        <v>3070.48</v>
      </c>
      <c r="L491" s="139">
        <v>208</v>
      </c>
      <c r="M491" s="138" t="s">
        <v>271</v>
      </c>
      <c r="N491" s="138" t="s">
        <v>275</v>
      </c>
      <c r="O491" s="136" t="s">
        <v>1434</v>
      </c>
      <c r="P491" s="130">
        <v>3841975.35</v>
      </c>
      <c r="Q491" s="130">
        <v>0</v>
      </c>
      <c r="R491" s="130">
        <v>0</v>
      </c>
      <c r="S491" s="130">
        <f t="shared" si="147"/>
        <v>3841975.35</v>
      </c>
      <c r="T491" s="130">
        <f t="shared" si="128"/>
        <v>1226.8958728516411</v>
      </c>
      <c r="U491" s="130">
        <v>1370.695011272697</v>
      </c>
    </row>
    <row r="492" spans="1:21" s="64" customFormat="1" ht="36" customHeight="1" x14ac:dyDescent="0.9">
      <c r="A492" s="64">
        <v>1</v>
      </c>
      <c r="B492" s="96">
        <f>SUBTOTAL(103,$A$16:A492)</f>
        <v>428</v>
      </c>
      <c r="C492" s="94" t="s">
        <v>1657</v>
      </c>
      <c r="D492" s="138">
        <v>1961</v>
      </c>
      <c r="E492" s="138"/>
      <c r="F492" s="167" t="s">
        <v>1674</v>
      </c>
      <c r="G492" s="138">
        <v>2</v>
      </c>
      <c r="H492" s="138">
        <v>2</v>
      </c>
      <c r="I492" s="130">
        <v>970.74</v>
      </c>
      <c r="J492" s="130">
        <v>543.79999999999995</v>
      </c>
      <c r="K492" s="130">
        <f>J492</f>
        <v>543.79999999999995</v>
      </c>
      <c r="L492" s="139">
        <v>42</v>
      </c>
      <c r="M492" s="138" t="s">
        <v>271</v>
      </c>
      <c r="N492" s="138" t="s">
        <v>272</v>
      </c>
      <c r="O492" s="136" t="s">
        <v>274</v>
      </c>
      <c r="P492" s="130">
        <v>3276303.04</v>
      </c>
      <c r="Q492" s="130">
        <v>0</v>
      </c>
      <c r="R492" s="130">
        <v>0</v>
      </c>
      <c r="S492" s="130">
        <f>P492-R492-Q492</f>
        <v>3276303.04</v>
      </c>
      <c r="T492" s="130">
        <f t="shared" si="128"/>
        <v>3375.0572140841009</v>
      </c>
      <c r="U492" s="130">
        <f>T492</f>
        <v>3375.0572140841009</v>
      </c>
    </row>
    <row r="493" spans="1:21" s="64" customFormat="1" ht="36" customHeight="1" x14ac:dyDescent="0.9">
      <c r="A493" s="64">
        <v>1</v>
      </c>
      <c r="B493" s="96">
        <f>SUBTOTAL(103,$A$16:A493)</f>
        <v>429</v>
      </c>
      <c r="C493" s="94" t="s">
        <v>153</v>
      </c>
      <c r="D493" s="138">
        <v>1983</v>
      </c>
      <c r="E493" s="138"/>
      <c r="F493" s="167" t="s">
        <v>293</v>
      </c>
      <c r="G493" s="138">
        <v>5</v>
      </c>
      <c r="H493" s="138">
        <v>4</v>
      </c>
      <c r="I493" s="129">
        <v>4333.8</v>
      </c>
      <c r="J493" s="129">
        <v>1755.3</v>
      </c>
      <c r="K493" s="129">
        <v>1755.3</v>
      </c>
      <c r="L493" s="139">
        <v>123</v>
      </c>
      <c r="M493" s="138" t="s">
        <v>271</v>
      </c>
      <c r="N493" s="138" t="s">
        <v>275</v>
      </c>
      <c r="O493" s="136" t="s">
        <v>299</v>
      </c>
      <c r="P493" s="130">
        <v>5244797.5</v>
      </c>
      <c r="Q493" s="130">
        <v>0</v>
      </c>
      <c r="R493" s="130">
        <v>0</v>
      </c>
      <c r="S493" s="130">
        <f>P493-Q493-R493</f>
        <v>5244797.5</v>
      </c>
      <c r="T493" s="130">
        <f t="shared" si="128"/>
        <v>1210.2075545710461</v>
      </c>
      <c r="U493" s="130">
        <v>1210.2075545710461</v>
      </c>
    </row>
    <row r="494" spans="1:21" s="64" customFormat="1" ht="36" customHeight="1" x14ac:dyDescent="0.9">
      <c r="A494" s="64">
        <v>1</v>
      </c>
      <c r="B494" s="96">
        <f>SUBTOTAL(103,$A$16:A494)</f>
        <v>430</v>
      </c>
      <c r="C494" s="94" t="s">
        <v>154</v>
      </c>
      <c r="D494" s="138">
        <v>1985</v>
      </c>
      <c r="E494" s="138"/>
      <c r="F494" s="167" t="s">
        <v>293</v>
      </c>
      <c r="G494" s="138">
        <v>5</v>
      </c>
      <c r="H494" s="138">
        <v>5</v>
      </c>
      <c r="I494" s="129">
        <v>5376.4</v>
      </c>
      <c r="J494" s="129">
        <v>2229.5</v>
      </c>
      <c r="K494" s="129">
        <v>22225.4</v>
      </c>
      <c r="L494" s="139">
        <v>149</v>
      </c>
      <c r="M494" s="138" t="s">
        <v>271</v>
      </c>
      <c r="N494" s="138" t="s">
        <v>275</v>
      </c>
      <c r="O494" s="136" t="s">
        <v>299</v>
      </c>
      <c r="P494" s="130">
        <v>6908757.5199999996</v>
      </c>
      <c r="Q494" s="130">
        <v>0</v>
      </c>
      <c r="R494" s="130">
        <v>0</v>
      </c>
      <c r="S494" s="130">
        <f>P494-Q494-R494</f>
        <v>6908757.5199999996</v>
      </c>
      <c r="T494" s="130">
        <f t="shared" si="128"/>
        <v>1285.0155345584405</v>
      </c>
      <c r="U494" s="130">
        <v>1285.0155345584405</v>
      </c>
    </row>
    <row r="495" spans="1:21" s="64" customFormat="1" ht="36" customHeight="1" x14ac:dyDescent="0.9">
      <c r="B495" s="94" t="s">
        <v>896</v>
      </c>
      <c r="C495" s="94"/>
      <c r="D495" s="138" t="s">
        <v>934</v>
      </c>
      <c r="E495" s="138" t="s">
        <v>934</v>
      </c>
      <c r="F495" s="138" t="s">
        <v>934</v>
      </c>
      <c r="G495" s="138" t="s">
        <v>934</v>
      </c>
      <c r="H495" s="138" t="s">
        <v>934</v>
      </c>
      <c r="I495" s="129">
        <f>SUM(I496:I503)</f>
        <v>33276.850000000006</v>
      </c>
      <c r="J495" s="129">
        <f t="shared" ref="J495:L495" si="148">SUM(J496:J503)</f>
        <v>22191.000000000004</v>
      </c>
      <c r="K495" s="129">
        <f t="shared" si="148"/>
        <v>19832.54</v>
      </c>
      <c r="L495" s="139">
        <f t="shared" si="148"/>
        <v>1281</v>
      </c>
      <c r="M495" s="138" t="s">
        <v>934</v>
      </c>
      <c r="N495" s="138" t="s">
        <v>934</v>
      </c>
      <c r="O495" s="136" t="s">
        <v>934</v>
      </c>
      <c r="P495" s="130">
        <v>38327194.07</v>
      </c>
      <c r="Q495" s="130">
        <f t="shared" ref="Q495:S495" si="149">SUM(Q496:Q503)</f>
        <v>0</v>
      </c>
      <c r="R495" s="130">
        <f t="shared" si="149"/>
        <v>0</v>
      </c>
      <c r="S495" s="130">
        <f t="shared" si="149"/>
        <v>38327194.07</v>
      </c>
      <c r="T495" s="130">
        <f t="shared" si="128"/>
        <v>1151.7674921153894</v>
      </c>
      <c r="U495" s="130">
        <f>MAX(U496:U503)</f>
        <v>5733.1216100240299</v>
      </c>
    </row>
    <row r="496" spans="1:21" s="64" customFormat="1" ht="36" customHeight="1" x14ac:dyDescent="0.9">
      <c r="A496" s="64">
        <v>1</v>
      </c>
      <c r="B496" s="96">
        <f>SUBTOTAL(103,$A$16:A496)</f>
        <v>431</v>
      </c>
      <c r="C496" s="94" t="s">
        <v>138</v>
      </c>
      <c r="D496" s="138">
        <v>1982</v>
      </c>
      <c r="E496" s="138"/>
      <c r="F496" s="167" t="s">
        <v>273</v>
      </c>
      <c r="G496" s="138">
        <v>5</v>
      </c>
      <c r="H496" s="138">
        <v>6</v>
      </c>
      <c r="I496" s="130">
        <v>3868.3</v>
      </c>
      <c r="J496" s="130">
        <v>2289.6</v>
      </c>
      <c r="K496" s="130">
        <v>2289.6</v>
      </c>
      <c r="L496" s="139">
        <v>192</v>
      </c>
      <c r="M496" s="138" t="s">
        <v>271</v>
      </c>
      <c r="N496" s="138" t="s">
        <v>297</v>
      </c>
      <c r="O496" s="136" t="s">
        <v>309</v>
      </c>
      <c r="P496" s="130">
        <v>6331416.2400000002</v>
      </c>
      <c r="Q496" s="130">
        <v>0</v>
      </c>
      <c r="R496" s="130">
        <v>0</v>
      </c>
      <c r="S496" s="130">
        <f t="shared" ref="S496:S503" si="150">P496-Q496-R496</f>
        <v>6331416.2400000002</v>
      </c>
      <c r="T496" s="130">
        <f t="shared" si="128"/>
        <v>1636.7438513041905</v>
      </c>
      <c r="U496" s="130">
        <v>2039.4812449913397</v>
      </c>
    </row>
    <row r="497" spans="1:21" s="64" customFormat="1" ht="36" customHeight="1" x14ac:dyDescent="0.9">
      <c r="A497" s="64">
        <v>1</v>
      </c>
      <c r="B497" s="96">
        <f>SUBTOTAL(103,$A$16:A497)</f>
        <v>432</v>
      </c>
      <c r="C497" s="94" t="s">
        <v>140</v>
      </c>
      <c r="D497" s="138">
        <v>1964</v>
      </c>
      <c r="E497" s="138"/>
      <c r="F497" s="167" t="s">
        <v>273</v>
      </c>
      <c r="G497" s="138">
        <v>4</v>
      </c>
      <c r="H497" s="138">
        <v>2</v>
      </c>
      <c r="I497" s="130">
        <v>2499.9</v>
      </c>
      <c r="J497" s="130">
        <v>2061.5</v>
      </c>
      <c r="K497" s="130">
        <v>2061.5</v>
      </c>
      <c r="L497" s="139">
        <v>75</v>
      </c>
      <c r="M497" s="138" t="s">
        <v>271</v>
      </c>
      <c r="N497" s="138" t="s">
        <v>297</v>
      </c>
      <c r="O497" s="136" t="s">
        <v>298</v>
      </c>
      <c r="P497" s="130">
        <v>2412628.25</v>
      </c>
      <c r="Q497" s="130">
        <v>0</v>
      </c>
      <c r="R497" s="130">
        <v>0</v>
      </c>
      <c r="S497" s="130">
        <f t="shared" si="150"/>
        <v>2412628.25</v>
      </c>
      <c r="T497" s="130">
        <f t="shared" si="128"/>
        <v>965.08990359614381</v>
      </c>
      <c r="U497" s="130">
        <v>1117.3182462498498</v>
      </c>
    </row>
    <row r="498" spans="1:21" s="64" customFormat="1" ht="36" customHeight="1" x14ac:dyDescent="0.9">
      <c r="A498" s="64">
        <v>1</v>
      </c>
      <c r="B498" s="96">
        <f>SUBTOTAL(103,$A$16:A498)</f>
        <v>433</v>
      </c>
      <c r="C498" s="94" t="s">
        <v>149</v>
      </c>
      <c r="D498" s="138">
        <v>1972</v>
      </c>
      <c r="E498" s="138"/>
      <c r="F498" s="167" t="s">
        <v>273</v>
      </c>
      <c r="G498" s="138">
        <v>5</v>
      </c>
      <c r="H498" s="138">
        <v>8</v>
      </c>
      <c r="I498" s="130">
        <v>8090.9</v>
      </c>
      <c r="J498" s="130">
        <v>6096.3</v>
      </c>
      <c r="K498" s="130">
        <v>5723.68</v>
      </c>
      <c r="L498" s="139">
        <v>307</v>
      </c>
      <c r="M498" s="138" t="s">
        <v>271</v>
      </c>
      <c r="N498" s="138" t="s">
        <v>275</v>
      </c>
      <c r="O498" s="136" t="s">
        <v>300</v>
      </c>
      <c r="P498" s="130">
        <v>8689284.0800000001</v>
      </c>
      <c r="Q498" s="130">
        <v>0</v>
      </c>
      <c r="R498" s="130">
        <v>0</v>
      </c>
      <c r="S498" s="130">
        <f t="shared" si="150"/>
        <v>8689284.0800000001</v>
      </c>
      <c r="T498" s="130">
        <f t="shared" si="128"/>
        <v>1073.9576660198495</v>
      </c>
      <c r="U498" s="130">
        <v>1243.3582491935385</v>
      </c>
    </row>
    <row r="499" spans="1:21" s="64" customFormat="1" ht="36" customHeight="1" x14ac:dyDescent="0.9">
      <c r="A499" s="64">
        <v>1</v>
      </c>
      <c r="B499" s="96">
        <f>SUBTOTAL(103,$A$16:A499)</f>
        <v>434</v>
      </c>
      <c r="C499" s="94" t="s">
        <v>1330</v>
      </c>
      <c r="D499" s="138">
        <v>1928</v>
      </c>
      <c r="E499" s="138"/>
      <c r="F499" s="167" t="s">
        <v>273</v>
      </c>
      <c r="G499" s="138">
        <v>3</v>
      </c>
      <c r="H499" s="138">
        <v>4</v>
      </c>
      <c r="I499" s="130">
        <v>1165.2</v>
      </c>
      <c r="J499" s="130">
        <v>998.7</v>
      </c>
      <c r="K499" s="130">
        <v>538.29999999999995</v>
      </c>
      <c r="L499" s="139">
        <v>72</v>
      </c>
      <c r="M499" s="138" t="s">
        <v>271</v>
      </c>
      <c r="N499" s="138" t="s">
        <v>275</v>
      </c>
      <c r="O499" s="136" t="s">
        <v>294</v>
      </c>
      <c r="P499" s="130">
        <v>4735462.9799999995</v>
      </c>
      <c r="Q499" s="130">
        <v>0</v>
      </c>
      <c r="R499" s="130">
        <v>0</v>
      </c>
      <c r="S499" s="130">
        <f t="shared" si="150"/>
        <v>4735462.9799999995</v>
      </c>
      <c r="T499" s="130">
        <f t="shared" si="128"/>
        <v>4064.0773944387224</v>
      </c>
      <c r="U499" s="130">
        <v>5733.1216100240299</v>
      </c>
    </row>
    <row r="500" spans="1:21" s="64" customFormat="1" ht="36" customHeight="1" x14ac:dyDescent="0.9">
      <c r="A500" s="64">
        <v>1</v>
      </c>
      <c r="B500" s="96">
        <f>SUBTOTAL(103,$A$16:A500)</f>
        <v>435</v>
      </c>
      <c r="C500" s="94" t="s">
        <v>1331</v>
      </c>
      <c r="D500" s="138">
        <v>1962</v>
      </c>
      <c r="E500" s="138"/>
      <c r="F500" s="167" t="s">
        <v>273</v>
      </c>
      <c r="G500" s="138">
        <v>3</v>
      </c>
      <c r="H500" s="138">
        <v>3</v>
      </c>
      <c r="I500" s="130">
        <v>1520.41</v>
      </c>
      <c r="J500" s="130">
        <v>903.54</v>
      </c>
      <c r="K500" s="130">
        <v>226.5</v>
      </c>
      <c r="L500" s="139">
        <v>135</v>
      </c>
      <c r="M500" s="138" t="s">
        <v>271</v>
      </c>
      <c r="N500" s="138" t="s">
        <v>275</v>
      </c>
      <c r="O500" s="136" t="s">
        <v>1415</v>
      </c>
      <c r="P500" s="130">
        <v>4455121.7300000004</v>
      </c>
      <c r="Q500" s="130">
        <v>0</v>
      </c>
      <c r="R500" s="130">
        <v>0</v>
      </c>
      <c r="S500" s="130">
        <f t="shared" si="150"/>
        <v>4455121.7300000004</v>
      </c>
      <c r="T500" s="130">
        <f t="shared" si="128"/>
        <v>2930.2107523628497</v>
      </c>
      <c r="U500" s="130">
        <v>3415.5590531501366</v>
      </c>
    </row>
    <row r="501" spans="1:21" s="64" customFormat="1" ht="36" customHeight="1" x14ac:dyDescent="0.9">
      <c r="A501" s="64">
        <v>1</v>
      </c>
      <c r="B501" s="96">
        <f>SUBTOTAL(103,$A$16:A501)</f>
        <v>436</v>
      </c>
      <c r="C501" s="94" t="s">
        <v>1332</v>
      </c>
      <c r="D501" s="138">
        <v>1970</v>
      </c>
      <c r="E501" s="138"/>
      <c r="F501" s="167" t="s">
        <v>273</v>
      </c>
      <c r="G501" s="138">
        <v>5</v>
      </c>
      <c r="H501" s="138">
        <v>6</v>
      </c>
      <c r="I501" s="130">
        <v>7597.16</v>
      </c>
      <c r="J501" s="130">
        <v>4459.3599999999997</v>
      </c>
      <c r="K501" s="130">
        <v>4120.66</v>
      </c>
      <c r="L501" s="139">
        <v>224</v>
      </c>
      <c r="M501" s="138" t="s">
        <v>271</v>
      </c>
      <c r="N501" s="138" t="s">
        <v>275</v>
      </c>
      <c r="O501" s="136" t="s">
        <v>1416</v>
      </c>
      <c r="P501" s="130">
        <v>7031127.6799999997</v>
      </c>
      <c r="Q501" s="130">
        <v>0</v>
      </c>
      <c r="R501" s="130">
        <v>0</v>
      </c>
      <c r="S501" s="130">
        <f t="shared" si="150"/>
        <v>7031127.6799999997</v>
      </c>
      <c r="T501" s="130">
        <f t="shared" si="128"/>
        <v>925.49422152488557</v>
      </c>
      <c r="U501" s="130">
        <v>1257.8143416223959</v>
      </c>
    </row>
    <row r="502" spans="1:21" s="64" customFormat="1" ht="36" customHeight="1" x14ac:dyDescent="0.9">
      <c r="A502" s="64">
        <v>1</v>
      </c>
      <c r="B502" s="96">
        <f>SUBTOTAL(103,$A$16:A502)</f>
        <v>437</v>
      </c>
      <c r="C502" s="94" t="s">
        <v>170</v>
      </c>
      <c r="D502" s="138">
        <v>1966</v>
      </c>
      <c r="E502" s="138"/>
      <c r="F502" s="167" t="s">
        <v>273</v>
      </c>
      <c r="G502" s="138">
        <v>4</v>
      </c>
      <c r="H502" s="138">
        <v>2</v>
      </c>
      <c r="I502" s="130">
        <v>1285.3</v>
      </c>
      <c r="J502" s="130">
        <v>836.8</v>
      </c>
      <c r="K502" s="130">
        <v>836.8</v>
      </c>
      <c r="L502" s="139">
        <v>76</v>
      </c>
      <c r="M502" s="138" t="s">
        <v>271</v>
      </c>
      <c r="N502" s="138" t="s">
        <v>297</v>
      </c>
      <c r="O502" s="136" t="s">
        <v>308</v>
      </c>
      <c r="P502" s="130">
        <v>646262.4</v>
      </c>
      <c r="Q502" s="130">
        <v>0</v>
      </c>
      <c r="R502" s="130">
        <v>0</v>
      </c>
      <c r="S502" s="130">
        <f t="shared" si="150"/>
        <v>646262.4</v>
      </c>
      <c r="T502" s="130">
        <f t="shared" si="128"/>
        <v>502.81055006613246</v>
      </c>
      <c r="U502" s="130">
        <v>1280.3575196452191</v>
      </c>
    </row>
    <row r="503" spans="1:21" s="64" customFormat="1" ht="36" customHeight="1" x14ac:dyDescent="0.9">
      <c r="A503" s="64">
        <v>1</v>
      </c>
      <c r="B503" s="96">
        <f>SUBTOTAL(103,$A$16:A503)</f>
        <v>438</v>
      </c>
      <c r="C503" s="94" t="s">
        <v>1354</v>
      </c>
      <c r="D503" s="138">
        <v>1983</v>
      </c>
      <c r="E503" s="138"/>
      <c r="F503" s="167" t="s">
        <v>273</v>
      </c>
      <c r="G503" s="138">
        <v>5</v>
      </c>
      <c r="H503" s="138">
        <v>6</v>
      </c>
      <c r="I503" s="130">
        <v>7249.68</v>
      </c>
      <c r="J503" s="130">
        <v>4545.2</v>
      </c>
      <c r="K503" s="130">
        <v>4035.5</v>
      </c>
      <c r="L503" s="139">
        <v>200</v>
      </c>
      <c r="M503" s="138" t="s">
        <v>271</v>
      </c>
      <c r="N503" s="138" t="s">
        <v>349</v>
      </c>
      <c r="O503" s="136" t="s">
        <v>1435</v>
      </c>
      <c r="P503" s="130">
        <v>4025890.71</v>
      </c>
      <c r="Q503" s="130">
        <v>0</v>
      </c>
      <c r="R503" s="130">
        <v>0</v>
      </c>
      <c r="S503" s="130">
        <f t="shared" si="150"/>
        <v>4025890.71</v>
      </c>
      <c r="T503" s="130">
        <f t="shared" si="128"/>
        <v>555.31978101102391</v>
      </c>
      <c r="U503" s="130">
        <v>2753.19</v>
      </c>
    </row>
    <row r="504" spans="1:21" s="64" customFormat="1" ht="36" customHeight="1" x14ac:dyDescent="0.9">
      <c r="B504" s="94" t="s">
        <v>1328</v>
      </c>
      <c r="C504" s="94"/>
      <c r="D504" s="138" t="s">
        <v>934</v>
      </c>
      <c r="E504" s="138" t="s">
        <v>934</v>
      </c>
      <c r="F504" s="138" t="s">
        <v>934</v>
      </c>
      <c r="G504" s="138" t="s">
        <v>934</v>
      </c>
      <c r="H504" s="138" t="s">
        <v>934</v>
      </c>
      <c r="I504" s="129">
        <f>SUM(I505:I505)</f>
        <v>720.74</v>
      </c>
      <c r="J504" s="129">
        <f>SUM(J505:J505)</f>
        <v>680.3</v>
      </c>
      <c r="K504" s="129">
        <f>SUM(K505:K505)</f>
        <v>515.4</v>
      </c>
      <c r="L504" s="139">
        <f>SUM(L505:L505)</f>
        <v>19</v>
      </c>
      <c r="M504" s="138" t="s">
        <v>934</v>
      </c>
      <c r="N504" s="138" t="s">
        <v>934</v>
      </c>
      <c r="O504" s="136" t="s">
        <v>934</v>
      </c>
      <c r="P504" s="130">
        <v>2298882.5099999998</v>
      </c>
      <c r="Q504" s="130">
        <f>Q505</f>
        <v>0</v>
      </c>
      <c r="R504" s="130">
        <f t="shared" ref="R504:S504" si="151">R505</f>
        <v>0</v>
      </c>
      <c r="S504" s="130">
        <f t="shared" si="151"/>
        <v>2298882.5099999998</v>
      </c>
      <c r="T504" s="130">
        <f t="shared" si="128"/>
        <v>3189.6141604462077</v>
      </c>
      <c r="U504" s="130">
        <f>U505</f>
        <v>3923.3336021311434</v>
      </c>
    </row>
    <row r="505" spans="1:21" s="64" customFormat="1" ht="36" customHeight="1" x14ac:dyDescent="0.9">
      <c r="A505" s="64">
        <v>1</v>
      </c>
      <c r="B505" s="96">
        <f>SUBTOTAL(103,$A$16:A505)</f>
        <v>439</v>
      </c>
      <c r="C505" s="94" t="s">
        <v>1329</v>
      </c>
      <c r="D505" s="138">
        <v>1976</v>
      </c>
      <c r="E505" s="138"/>
      <c r="F505" s="167" t="s">
        <v>273</v>
      </c>
      <c r="G505" s="138">
        <v>2</v>
      </c>
      <c r="H505" s="138">
        <v>1</v>
      </c>
      <c r="I505" s="130">
        <v>720.74</v>
      </c>
      <c r="J505" s="130">
        <v>680.3</v>
      </c>
      <c r="K505" s="130">
        <v>515.4</v>
      </c>
      <c r="L505" s="139">
        <v>19</v>
      </c>
      <c r="M505" s="138" t="s">
        <v>271</v>
      </c>
      <c r="N505" s="138" t="s">
        <v>275</v>
      </c>
      <c r="O505" s="136" t="s">
        <v>294</v>
      </c>
      <c r="P505" s="130">
        <v>2298882.5099999998</v>
      </c>
      <c r="Q505" s="130">
        <v>0</v>
      </c>
      <c r="R505" s="130">
        <v>0</v>
      </c>
      <c r="S505" s="130">
        <f t="shared" ref="S505" si="152">P505-Q505-R505</f>
        <v>2298882.5099999998</v>
      </c>
      <c r="T505" s="130">
        <f t="shared" si="128"/>
        <v>3189.6141604462077</v>
      </c>
      <c r="U505" s="130">
        <v>3923.3336021311434</v>
      </c>
    </row>
    <row r="506" spans="1:21" s="64" customFormat="1" ht="36" customHeight="1" x14ac:dyDescent="0.9">
      <c r="B506" s="94" t="s">
        <v>1114</v>
      </c>
      <c r="C506" s="94"/>
      <c r="D506" s="138" t="s">
        <v>934</v>
      </c>
      <c r="E506" s="138" t="s">
        <v>934</v>
      </c>
      <c r="F506" s="138" t="s">
        <v>934</v>
      </c>
      <c r="G506" s="138" t="s">
        <v>934</v>
      </c>
      <c r="H506" s="138" t="s">
        <v>934</v>
      </c>
      <c r="I506" s="129">
        <f>I507</f>
        <v>970.5</v>
      </c>
      <c r="J506" s="129">
        <f t="shared" ref="J506:L506" si="153">J507</f>
        <v>874</v>
      </c>
      <c r="K506" s="129">
        <f t="shared" si="153"/>
        <v>786.4</v>
      </c>
      <c r="L506" s="139">
        <f t="shared" si="153"/>
        <v>38</v>
      </c>
      <c r="M506" s="138" t="s">
        <v>934</v>
      </c>
      <c r="N506" s="138" t="s">
        <v>934</v>
      </c>
      <c r="O506" s="136" t="s">
        <v>934</v>
      </c>
      <c r="P506" s="130">
        <v>467593.97</v>
      </c>
      <c r="Q506" s="130">
        <f t="shared" ref="Q506:S506" si="154">Q507</f>
        <v>0</v>
      </c>
      <c r="R506" s="130">
        <f t="shared" si="154"/>
        <v>0</v>
      </c>
      <c r="S506" s="130">
        <f t="shared" si="154"/>
        <v>467593.97</v>
      </c>
      <c r="T506" s="130">
        <f t="shared" si="128"/>
        <v>481.80728490468829</v>
      </c>
      <c r="U506" s="130">
        <f>U507</f>
        <v>883.60549922720247</v>
      </c>
    </row>
    <row r="507" spans="1:21" s="64" customFormat="1" ht="36" customHeight="1" x14ac:dyDescent="0.9">
      <c r="A507" s="64">
        <v>1</v>
      </c>
      <c r="B507" s="96">
        <f>SUBTOTAL(103,$A$16:A507)</f>
        <v>440</v>
      </c>
      <c r="C507" s="94" t="s">
        <v>1102</v>
      </c>
      <c r="D507" s="138">
        <v>1974</v>
      </c>
      <c r="E507" s="138"/>
      <c r="F507" s="167" t="s">
        <v>273</v>
      </c>
      <c r="G507" s="138">
        <v>2</v>
      </c>
      <c r="H507" s="138">
        <v>3</v>
      </c>
      <c r="I507" s="130">
        <v>970.5</v>
      </c>
      <c r="J507" s="130">
        <v>874</v>
      </c>
      <c r="K507" s="130">
        <f>J507-87.6</f>
        <v>786.4</v>
      </c>
      <c r="L507" s="139">
        <v>38</v>
      </c>
      <c r="M507" s="138" t="s">
        <v>271</v>
      </c>
      <c r="N507" s="138" t="s">
        <v>275</v>
      </c>
      <c r="O507" s="136" t="s">
        <v>300</v>
      </c>
      <c r="P507" s="130">
        <v>467593.97</v>
      </c>
      <c r="Q507" s="130">
        <v>0</v>
      </c>
      <c r="R507" s="130">
        <v>0</v>
      </c>
      <c r="S507" s="130">
        <f>P507-Q507-R507</f>
        <v>467593.97</v>
      </c>
      <c r="T507" s="130">
        <f t="shared" si="128"/>
        <v>481.80728490468829</v>
      </c>
      <c r="U507" s="130">
        <v>883.60549922720247</v>
      </c>
    </row>
    <row r="508" spans="1:21" s="64" customFormat="1" ht="36" customHeight="1" x14ac:dyDescent="0.9">
      <c r="B508" s="94" t="s">
        <v>897</v>
      </c>
      <c r="C508" s="126"/>
      <c r="D508" s="138" t="s">
        <v>934</v>
      </c>
      <c r="E508" s="138" t="s">
        <v>934</v>
      </c>
      <c r="F508" s="138" t="s">
        <v>934</v>
      </c>
      <c r="G508" s="138" t="s">
        <v>934</v>
      </c>
      <c r="H508" s="138" t="s">
        <v>934</v>
      </c>
      <c r="I508" s="129">
        <f>SUM(I509:I513)</f>
        <v>3040.6</v>
      </c>
      <c r="J508" s="129">
        <f t="shared" ref="J508:L508" si="155">SUM(J509:J513)</f>
        <v>2684.3</v>
      </c>
      <c r="K508" s="129">
        <f t="shared" si="155"/>
        <v>2684.3</v>
      </c>
      <c r="L508" s="139">
        <f t="shared" si="155"/>
        <v>115</v>
      </c>
      <c r="M508" s="138" t="s">
        <v>934</v>
      </c>
      <c r="N508" s="138" t="s">
        <v>934</v>
      </c>
      <c r="O508" s="136" t="s">
        <v>934</v>
      </c>
      <c r="P508" s="130">
        <v>11081040.970000001</v>
      </c>
      <c r="Q508" s="130">
        <f t="shared" ref="Q508:S508" si="156">SUM(Q509:Q513)</f>
        <v>0</v>
      </c>
      <c r="R508" s="130">
        <f t="shared" si="156"/>
        <v>0</v>
      </c>
      <c r="S508" s="130">
        <f t="shared" si="156"/>
        <v>11081040.970000001</v>
      </c>
      <c r="T508" s="130">
        <f t="shared" si="128"/>
        <v>3644.3599848714075</v>
      </c>
      <c r="U508" s="130">
        <f>MAX(U509:U513)</f>
        <v>19957.488267326735</v>
      </c>
    </row>
    <row r="509" spans="1:21" s="64" customFormat="1" ht="36" customHeight="1" x14ac:dyDescent="0.9">
      <c r="A509" s="64">
        <v>1</v>
      </c>
      <c r="B509" s="96">
        <f>SUBTOTAL(103,$A$16:A509)</f>
        <v>441</v>
      </c>
      <c r="C509" s="94" t="s">
        <v>90</v>
      </c>
      <c r="D509" s="138">
        <v>1969</v>
      </c>
      <c r="E509" s="138"/>
      <c r="F509" s="167" t="s">
        <v>273</v>
      </c>
      <c r="G509" s="138">
        <v>2</v>
      </c>
      <c r="H509" s="138">
        <v>2</v>
      </c>
      <c r="I509" s="130">
        <v>773.4</v>
      </c>
      <c r="J509" s="130">
        <v>714.5</v>
      </c>
      <c r="K509" s="130">
        <v>714.5</v>
      </c>
      <c r="L509" s="139">
        <v>37</v>
      </c>
      <c r="M509" s="138" t="s">
        <v>271</v>
      </c>
      <c r="N509" s="138" t="s">
        <v>275</v>
      </c>
      <c r="O509" s="136" t="s">
        <v>286</v>
      </c>
      <c r="P509" s="130">
        <v>2314656.7600000002</v>
      </c>
      <c r="Q509" s="130">
        <v>0</v>
      </c>
      <c r="R509" s="130">
        <v>0</v>
      </c>
      <c r="S509" s="130">
        <f t="shared" ref="S509:S513" si="157">P509-Q509-R509</f>
        <v>2314656.7600000002</v>
      </c>
      <c r="T509" s="130">
        <f t="shared" si="128"/>
        <v>2992.8326351176624</v>
      </c>
      <c r="U509" s="130">
        <v>3329.9275407292475</v>
      </c>
    </row>
    <row r="510" spans="1:21" s="64" customFormat="1" ht="36" customHeight="1" x14ac:dyDescent="0.9">
      <c r="A510" s="64">
        <v>1</v>
      </c>
      <c r="B510" s="96">
        <f>SUBTOTAL(103,$A$16:A510)</f>
        <v>442</v>
      </c>
      <c r="C510" s="94" t="s">
        <v>91</v>
      </c>
      <c r="D510" s="138">
        <v>1960</v>
      </c>
      <c r="E510" s="138"/>
      <c r="F510" s="167" t="s">
        <v>273</v>
      </c>
      <c r="G510" s="138">
        <v>2</v>
      </c>
      <c r="H510" s="138">
        <v>1</v>
      </c>
      <c r="I510" s="130">
        <v>382.2</v>
      </c>
      <c r="J510" s="130">
        <v>358.4</v>
      </c>
      <c r="K510" s="130">
        <v>358.4</v>
      </c>
      <c r="L510" s="139">
        <v>19</v>
      </c>
      <c r="M510" s="138" t="s">
        <v>271</v>
      </c>
      <c r="N510" s="138" t="s">
        <v>275</v>
      </c>
      <c r="O510" s="136" t="s">
        <v>286</v>
      </c>
      <c r="P510" s="130">
        <v>2072678.6099999999</v>
      </c>
      <c r="Q510" s="130">
        <v>0</v>
      </c>
      <c r="R510" s="130">
        <v>0</v>
      </c>
      <c r="S510" s="130">
        <f t="shared" si="157"/>
        <v>2072678.6099999999</v>
      </c>
      <c r="T510" s="130">
        <f t="shared" si="128"/>
        <v>5423.020957613815</v>
      </c>
      <c r="U510" s="130">
        <v>5423.020957613815</v>
      </c>
    </row>
    <row r="511" spans="1:21" s="64" customFormat="1" ht="36" customHeight="1" x14ac:dyDescent="0.9">
      <c r="A511" s="64">
        <v>1</v>
      </c>
      <c r="B511" s="96">
        <f>SUBTOTAL(103,$A$16:A511)</f>
        <v>443</v>
      </c>
      <c r="C511" s="94" t="s">
        <v>1335</v>
      </c>
      <c r="D511" s="138">
        <v>1965</v>
      </c>
      <c r="E511" s="138"/>
      <c r="F511" s="167" t="s">
        <v>338</v>
      </c>
      <c r="G511" s="138">
        <v>2</v>
      </c>
      <c r="H511" s="138">
        <v>1</v>
      </c>
      <c r="I511" s="130">
        <v>377</v>
      </c>
      <c r="J511" s="130">
        <v>334</v>
      </c>
      <c r="K511" s="130">
        <v>334</v>
      </c>
      <c r="L511" s="139">
        <v>23</v>
      </c>
      <c r="M511" s="138" t="s">
        <v>271</v>
      </c>
      <c r="N511" s="138" t="s">
        <v>275</v>
      </c>
      <c r="O511" s="136" t="s">
        <v>286</v>
      </c>
      <c r="P511" s="130">
        <v>1001541.0499999999</v>
      </c>
      <c r="Q511" s="130">
        <v>0</v>
      </c>
      <c r="R511" s="130">
        <v>0</v>
      </c>
      <c r="S511" s="130">
        <f t="shared" si="157"/>
        <v>1001541.0499999999</v>
      </c>
      <c r="T511" s="130">
        <f t="shared" si="128"/>
        <v>2656.6075596816972</v>
      </c>
      <c r="U511" s="130">
        <v>8365.4495689655178</v>
      </c>
    </row>
    <row r="512" spans="1:21" s="64" customFormat="1" ht="36" customHeight="1" x14ac:dyDescent="0.9">
      <c r="A512" s="64">
        <v>1</v>
      </c>
      <c r="B512" s="96">
        <f>SUBTOTAL(103,$A$16:A512)</f>
        <v>444</v>
      </c>
      <c r="C512" s="94" t="s">
        <v>1336</v>
      </c>
      <c r="D512" s="138">
        <v>1917</v>
      </c>
      <c r="E512" s="138"/>
      <c r="F512" s="167" t="s">
        <v>273</v>
      </c>
      <c r="G512" s="138">
        <v>2</v>
      </c>
      <c r="H512" s="138">
        <v>1</v>
      </c>
      <c r="I512" s="130">
        <v>262.60000000000002</v>
      </c>
      <c r="J512" s="130">
        <v>152.19999999999999</v>
      </c>
      <c r="K512" s="130">
        <v>152.19999999999999</v>
      </c>
      <c r="L512" s="139">
        <v>10</v>
      </c>
      <c r="M512" s="138" t="s">
        <v>271</v>
      </c>
      <c r="N512" s="138" t="s">
        <v>272</v>
      </c>
      <c r="O512" s="136" t="s">
        <v>274</v>
      </c>
      <c r="P512" s="130">
        <v>1989348.9700000002</v>
      </c>
      <c r="Q512" s="130">
        <v>0</v>
      </c>
      <c r="R512" s="130">
        <v>0</v>
      </c>
      <c r="S512" s="130">
        <f t="shared" si="157"/>
        <v>1989348.9700000002</v>
      </c>
      <c r="T512" s="130">
        <f t="shared" si="128"/>
        <v>7575.5863290175175</v>
      </c>
      <c r="U512" s="130">
        <v>19957.488267326735</v>
      </c>
    </row>
    <row r="513" spans="1:21" s="64" customFormat="1" ht="36" customHeight="1" x14ac:dyDescent="0.9">
      <c r="A513" s="64">
        <v>1</v>
      </c>
      <c r="B513" s="96">
        <f>SUBTOTAL(103,$A$16:A513)</f>
        <v>445</v>
      </c>
      <c r="C513" s="94" t="s">
        <v>1337</v>
      </c>
      <c r="D513" s="138">
        <v>1978</v>
      </c>
      <c r="E513" s="138"/>
      <c r="F513" s="167" t="s">
        <v>1421</v>
      </c>
      <c r="G513" s="138">
        <v>2</v>
      </c>
      <c r="H513" s="138">
        <v>4</v>
      </c>
      <c r="I513" s="130">
        <v>1245.4000000000001</v>
      </c>
      <c r="J513" s="130">
        <v>1125.2</v>
      </c>
      <c r="K513" s="130">
        <v>1125.2</v>
      </c>
      <c r="L513" s="139">
        <v>26</v>
      </c>
      <c r="M513" s="138" t="s">
        <v>271</v>
      </c>
      <c r="N513" s="138" t="s">
        <v>275</v>
      </c>
      <c r="O513" s="136" t="s">
        <v>1422</v>
      </c>
      <c r="P513" s="130">
        <v>3702815.58</v>
      </c>
      <c r="Q513" s="130">
        <v>0</v>
      </c>
      <c r="R513" s="130">
        <v>0</v>
      </c>
      <c r="S513" s="130">
        <f t="shared" si="157"/>
        <v>3702815.58</v>
      </c>
      <c r="T513" s="130">
        <f t="shared" si="128"/>
        <v>2973.1938172474706</v>
      </c>
      <c r="U513" s="130">
        <v>4657.1497703549057</v>
      </c>
    </row>
    <row r="514" spans="1:21" s="64" customFormat="1" ht="36" customHeight="1" x14ac:dyDescent="0.9">
      <c r="B514" s="94" t="s">
        <v>924</v>
      </c>
      <c r="C514" s="94"/>
      <c r="D514" s="138" t="s">
        <v>934</v>
      </c>
      <c r="E514" s="138" t="s">
        <v>934</v>
      </c>
      <c r="F514" s="138" t="s">
        <v>934</v>
      </c>
      <c r="G514" s="138" t="s">
        <v>934</v>
      </c>
      <c r="H514" s="138" t="s">
        <v>934</v>
      </c>
      <c r="I514" s="129">
        <f>I515</f>
        <v>1191.0999999999999</v>
      </c>
      <c r="J514" s="129">
        <f t="shared" ref="J514:L514" si="158">J515</f>
        <v>714.7</v>
      </c>
      <c r="K514" s="129">
        <f t="shared" si="158"/>
        <v>714.7</v>
      </c>
      <c r="L514" s="139">
        <f t="shared" si="158"/>
        <v>31</v>
      </c>
      <c r="M514" s="138" t="s">
        <v>934</v>
      </c>
      <c r="N514" s="138" t="s">
        <v>934</v>
      </c>
      <c r="O514" s="136" t="s">
        <v>934</v>
      </c>
      <c r="P514" s="130">
        <v>3314283.2199999997</v>
      </c>
      <c r="Q514" s="130">
        <f t="shared" ref="Q514:S514" si="159">Q515</f>
        <v>0</v>
      </c>
      <c r="R514" s="130">
        <f t="shared" si="159"/>
        <v>0</v>
      </c>
      <c r="S514" s="130">
        <f t="shared" si="159"/>
        <v>3314283.2199999997</v>
      </c>
      <c r="T514" s="130">
        <f t="shared" si="128"/>
        <v>2782.5398539165476</v>
      </c>
      <c r="U514" s="130">
        <f>U515</f>
        <v>3291.9866980102429</v>
      </c>
    </row>
    <row r="515" spans="1:21" s="64" customFormat="1" ht="36" customHeight="1" x14ac:dyDescent="0.9">
      <c r="A515" s="64">
        <v>1</v>
      </c>
      <c r="B515" s="96">
        <f>SUBTOTAL(103,$A$16:A515)</f>
        <v>446</v>
      </c>
      <c r="C515" s="94" t="s">
        <v>92</v>
      </c>
      <c r="D515" s="138">
        <v>1967</v>
      </c>
      <c r="E515" s="138"/>
      <c r="F515" s="167" t="s">
        <v>273</v>
      </c>
      <c r="G515" s="138">
        <v>2</v>
      </c>
      <c r="H515" s="138">
        <v>2</v>
      </c>
      <c r="I515" s="130">
        <v>1191.0999999999999</v>
      </c>
      <c r="J515" s="130">
        <v>714.7</v>
      </c>
      <c r="K515" s="130">
        <v>714.7</v>
      </c>
      <c r="L515" s="139">
        <v>31</v>
      </c>
      <c r="M515" s="138" t="s">
        <v>271</v>
      </c>
      <c r="N515" s="138" t="s">
        <v>275</v>
      </c>
      <c r="O515" s="136" t="s">
        <v>287</v>
      </c>
      <c r="P515" s="130">
        <v>3314283.2199999997</v>
      </c>
      <c r="Q515" s="130">
        <v>0</v>
      </c>
      <c r="R515" s="130">
        <v>0</v>
      </c>
      <c r="S515" s="130">
        <f>P515-Q515-R515</f>
        <v>3314283.2199999997</v>
      </c>
      <c r="T515" s="130">
        <f t="shared" si="128"/>
        <v>2782.5398539165476</v>
      </c>
      <c r="U515" s="130">
        <v>3291.9866980102429</v>
      </c>
    </row>
    <row r="516" spans="1:21" s="64" customFormat="1" ht="36" customHeight="1" x14ac:dyDescent="0.9">
      <c r="B516" s="94" t="s">
        <v>898</v>
      </c>
      <c r="C516" s="94"/>
      <c r="D516" s="138" t="s">
        <v>934</v>
      </c>
      <c r="E516" s="138" t="s">
        <v>934</v>
      </c>
      <c r="F516" s="138" t="s">
        <v>934</v>
      </c>
      <c r="G516" s="138" t="s">
        <v>934</v>
      </c>
      <c r="H516" s="138" t="s">
        <v>934</v>
      </c>
      <c r="I516" s="129">
        <f>I517</f>
        <v>706</v>
      </c>
      <c r="J516" s="129">
        <f t="shared" ref="J516:L516" si="160">J517</f>
        <v>627.1</v>
      </c>
      <c r="K516" s="129">
        <f t="shared" si="160"/>
        <v>627.1</v>
      </c>
      <c r="L516" s="139">
        <f t="shared" si="160"/>
        <v>41</v>
      </c>
      <c r="M516" s="138" t="s">
        <v>934</v>
      </c>
      <c r="N516" s="138" t="s">
        <v>934</v>
      </c>
      <c r="O516" s="136" t="s">
        <v>934</v>
      </c>
      <c r="P516" s="130">
        <v>3133080</v>
      </c>
      <c r="Q516" s="130">
        <f t="shared" ref="Q516:S516" si="161">Q517</f>
        <v>0</v>
      </c>
      <c r="R516" s="130">
        <f t="shared" si="161"/>
        <v>0</v>
      </c>
      <c r="S516" s="130">
        <f t="shared" si="161"/>
        <v>3133080</v>
      </c>
      <c r="T516" s="130">
        <f t="shared" si="128"/>
        <v>4437.7903682719543</v>
      </c>
      <c r="U516" s="130">
        <f>U517</f>
        <v>5137.7847025495748</v>
      </c>
    </row>
    <row r="517" spans="1:21" s="64" customFormat="1" ht="36" customHeight="1" x14ac:dyDescent="0.9">
      <c r="A517" s="64">
        <v>1</v>
      </c>
      <c r="B517" s="96">
        <f>SUBTOTAL(103,$A$16:A517)</f>
        <v>447</v>
      </c>
      <c r="C517" s="94" t="s">
        <v>93</v>
      </c>
      <c r="D517" s="138">
        <v>1979</v>
      </c>
      <c r="E517" s="138"/>
      <c r="F517" s="167" t="s">
        <v>273</v>
      </c>
      <c r="G517" s="138">
        <v>2</v>
      </c>
      <c r="H517" s="138">
        <v>2</v>
      </c>
      <c r="I517" s="130">
        <v>706</v>
      </c>
      <c r="J517" s="130">
        <v>627.1</v>
      </c>
      <c r="K517" s="130">
        <v>627.1</v>
      </c>
      <c r="L517" s="139">
        <v>41</v>
      </c>
      <c r="M517" s="138" t="s">
        <v>271</v>
      </c>
      <c r="N517" s="138" t="s">
        <v>275</v>
      </c>
      <c r="O517" s="136" t="s">
        <v>1056</v>
      </c>
      <c r="P517" s="130">
        <v>3133080</v>
      </c>
      <c r="Q517" s="130">
        <v>0</v>
      </c>
      <c r="R517" s="130">
        <v>0</v>
      </c>
      <c r="S517" s="130">
        <f>P517-Q517-R517</f>
        <v>3133080</v>
      </c>
      <c r="T517" s="130">
        <f t="shared" si="128"/>
        <v>4437.7903682719543</v>
      </c>
      <c r="U517" s="130">
        <v>5137.7847025495748</v>
      </c>
    </row>
    <row r="518" spans="1:21" s="64" customFormat="1" ht="36" customHeight="1" x14ac:dyDescent="0.9">
      <c r="B518" s="94" t="s">
        <v>899</v>
      </c>
      <c r="C518" s="94"/>
      <c r="D518" s="138" t="s">
        <v>934</v>
      </c>
      <c r="E518" s="138" t="s">
        <v>934</v>
      </c>
      <c r="F518" s="138" t="s">
        <v>934</v>
      </c>
      <c r="G518" s="138" t="s">
        <v>934</v>
      </c>
      <c r="H518" s="138" t="s">
        <v>934</v>
      </c>
      <c r="I518" s="129">
        <f>I519</f>
        <v>2004.4</v>
      </c>
      <c r="J518" s="129">
        <f t="shared" ref="J518:L518" si="162">J519</f>
        <v>1886.5</v>
      </c>
      <c r="K518" s="129">
        <f t="shared" si="162"/>
        <v>1886.5</v>
      </c>
      <c r="L518" s="139">
        <f t="shared" si="162"/>
        <v>67</v>
      </c>
      <c r="M518" s="138" t="s">
        <v>934</v>
      </c>
      <c r="N518" s="138" t="s">
        <v>934</v>
      </c>
      <c r="O518" s="136" t="s">
        <v>934</v>
      </c>
      <c r="P518" s="130">
        <v>5968517.3999999994</v>
      </c>
      <c r="Q518" s="130">
        <f t="shared" ref="Q518:S518" si="163">Q519</f>
        <v>0</v>
      </c>
      <c r="R518" s="130">
        <f t="shared" si="163"/>
        <v>0</v>
      </c>
      <c r="S518" s="130">
        <f t="shared" si="163"/>
        <v>5968517.3999999994</v>
      </c>
      <c r="T518" s="130">
        <f t="shared" si="128"/>
        <v>2977.7077429654755</v>
      </c>
      <c r="U518" s="130">
        <f>U519</f>
        <v>3447.3961185392136</v>
      </c>
    </row>
    <row r="519" spans="1:21" s="64" customFormat="1" ht="36" customHeight="1" x14ac:dyDescent="0.9">
      <c r="A519" s="64">
        <v>1</v>
      </c>
      <c r="B519" s="96">
        <f>SUBTOTAL(103,$A$16:A519)</f>
        <v>448</v>
      </c>
      <c r="C519" s="94" t="s">
        <v>94</v>
      </c>
      <c r="D519" s="138">
        <v>1980</v>
      </c>
      <c r="E519" s="138"/>
      <c r="F519" s="167" t="s">
        <v>273</v>
      </c>
      <c r="G519" s="138">
        <v>2</v>
      </c>
      <c r="H519" s="138">
        <v>3</v>
      </c>
      <c r="I519" s="130">
        <v>2004.4</v>
      </c>
      <c r="J519" s="130">
        <v>1886.5</v>
      </c>
      <c r="K519" s="130">
        <v>1886.5</v>
      </c>
      <c r="L519" s="139">
        <v>67</v>
      </c>
      <c r="M519" s="138" t="s">
        <v>271</v>
      </c>
      <c r="N519" s="138" t="s">
        <v>275</v>
      </c>
      <c r="O519" s="136" t="s">
        <v>286</v>
      </c>
      <c r="P519" s="130">
        <v>5968517.3999999994</v>
      </c>
      <c r="Q519" s="130">
        <v>0</v>
      </c>
      <c r="R519" s="130">
        <v>0</v>
      </c>
      <c r="S519" s="130">
        <f>P519-Q519-R519</f>
        <v>5968517.3999999994</v>
      </c>
      <c r="T519" s="130">
        <f t="shared" si="128"/>
        <v>2977.7077429654755</v>
      </c>
      <c r="U519" s="130">
        <v>3447.3961185392136</v>
      </c>
    </row>
    <row r="520" spans="1:21" s="64" customFormat="1" ht="36" customHeight="1" x14ac:dyDescent="0.9">
      <c r="B520" s="94" t="s">
        <v>900</v>
      </c>
      <c r="C520" s="94"/>
      <c r="D520" s="138" t="s">
        <v>934</v>
      </c>
      <c r="E520" s="138" t="s">
        <v>934</v>
      </c>
      <c r="F520" s="138" t="s">
        <v>934</v>
      </c>
      <c r="G520" s="138" t="s">
        <v>934</v>
      </c>
      <c r="H520" s="138" t="s">
        <v>934</v>
      </c>
      <c r="I520" s="129">
        <f>I521</f>
        <v>702.7</v>
      </c>
      <c r="J520" s="129">
        <f t="shared" ref="J520:L520" si="164">J521</f>
        <v>643.20000000000005</v>
      </c>
      <c r="K520" s="129">
        <f t="shared" si="164"/>
        <v>643.20000000000005</v>
      </c>
      <c r="L520" s="139">
        <f t="shared" si="164"/>
        <v>34</v>
      </c>
      <c r="M520" s="138" t="s">
        <v>934</v>
      </c>
      <c r="N520" s="138" t="s">
        <v>934</v>
      </c>
      <c r="O520" s="136" t="s">
        <v>934</v>
      </c>
      <c r="P520" s="130">
        <v>3253210.4899999998</v>
      </c>
      <c r="Q520" s="130">
        <f t="shared" ref="Q520:S520" si="165">Q521</f>
        <v>0</v>
      </c>
      <c r="R520" s="130">
        <f t="shared" si="165"/>
        <v>0</v>
      </c>
      <c r="S520" s="130">
        <f t="shared" si="165"/>
        <v>3253210.4899999998</v>
      </c>
      <c r="T520" s="130">
        <f t="shared" si="128"/>
        <v>4629.5865803330007</v>
      </c>
      <c r="U520" s="130">
        <f>U521</f>
        <v>5161.912622740856</v>
      </c>
    </row>
    <row r="521" spans="1:21" s="64" customFormat="1" ht="36" customHeight="1" x14ac:dyDescent="0.9">
      <c r="A521" s="64">
        <v>1</v>
      </c>
      <c r="B521" s="96">
        <f>SUBTOTAL(103,$A$16:A521)</f>
        <v>449</v>
      </c>
      <c r="C521" s="94" t="s">
        <v>95</v>
      </c>
      <c r="D521" s="138">
        <v>1969</v>
      </c>
      <c r="E521" s="138"/>
      <c r="F521" s="167" t="s">
        <v>273</v>
      </c>
      <c r="G521" s="138">
        <v>2</v>
      </c>
      <c r="H521" s="138">
        <v>2</v>
      </c>
      <c r="I521" s="130">
        <v>702.7</v>
      </c>
      <c r="J521" s="130">
        <v>643.20000000000005</v>
      </c>
      <c r="K521" s="130">
        <v>643.20000000000005</v>
      </c>
      <c r="L521" s="139">
        <v>34</v>
      </c>
      <c r="M521" s="138" t="s">
        <v>271</v>
      </c>
      <c r="N521" s="138" t="s">
        <v>275</v>
      </c>
      <c r="O521" s="136" t="s">
        <v>288</v>
      </c>
      <c r="P521" s="130">
        <v>3253210.4899999998</v>
      </c>
      <c r="Q521" s="130">
        <v>0</v>
      </c>
      <c r="R521" s="130">
        <v>0</v>
      </c>
      <c r="S521" s="130">
        <f>P521-Q521-R521</f>
        <v>3253210.4899999998</v>
      </c>
      <c r="T521" s="130">
        <f t="shared" si="128"/>
        <v>4629.5865803330007</v>
      </c>
      <c r="U521" s="130">
        <v>5161.912622740856</v>
      </c>
    </row>
    <row r="522" spans="1:21" s="64" customFormat="1" ht="36" customHeight="1" x14ac:dyDescent="0.9">
      <c r="B522" s="94" t="s">
        <v>1338</v>
      </c>
      <c r="C522" s="94"/>
      <c r="D522" s="138" t="s">
        <v>934</v>
      </c>
      <c r="E522" s="138" t="s">
        <v>934</v>
      </c>
      <c r="F522" s="138" t="s">
        <v>934</v>
      </c>
      <c r="G522" s="138" t="s">
        <v>934</v>
      </c>
      <c r="H522" s="138" t="s">
        <v>934</v>
      </c>
      <c r="I522" s="129">
        <f>I523</f>
        <v>853.8</v>
      </c>
      <c r="J522" s="129">
        <f t="shared" ref="J522:L522" si="166">J523</f>
        <v>679.5</v>
      </c>
      <c r="K522" s="129">
        <f t="shared" si="166"/>
        <v>679.5</v>
      </c>
      <c r="L522" s="139">
        <f t="shared" si="166"/>
        <v>38</v>
      </c>
      <c r="M522" s="138" t="s">
        <v>934</v>
      </c>
      <c r="N522" s="138" t="s">
        <v>934</v>
      </c>
      <c r="O522" s="136" t="s">
        <v>934</v>
      </c>
      <c r="P522" s="130">
        <v>2309984.35</v>
      </c>
      <c r="Q522" s="130">
        <f t="shared" ref="Q522:S522" si="167">Q523</f>
        <v>0</v>
      </c>
      <c r="R522" s="130">
        <f t="shared" si="167"/>
        <v>0</v>
      </c>
      <c r="S522" s="130">
        <f t="shared" si="167"/>
        <v>2309984.35</v>
      </c>
      <c r="T522" s="130">
        <f t="shared" ref="T522:T585" si="168">P522/I522</f>
        <v>2705.5333216209888</v>
      </c>
      <c r="U522" s="130">
        <f>U523</f>
        <v>3602.6400000000003</v>
      </c>
    </row>
    <row r="523" spans="1:21" s="64" customFormat="1" ht="36" customHeight="1" x14ac:dyDescent="0.9">
      <c r="A523" s="64">
        <v>1</v>
      </c>
      <c r="B523" s="96">
        <f>SUBTOTAL(103,$A$16:A523)</f>
        <v>450</v>
      </c>
      <c r="C523" s="94" t="s">
        <v>1339</v>
      </c>
      <c r="D523" s="138">
        <v>1981</v>
      </c>
      <c r="E523" s="138"/>
      <c r="F523" s="167" t="s">
        <v>344</v>
      </c>
      <c r="G523" s="138">
        <v>2</v>
      </c>
      <c r="H523" s="138">
        <v>3</v>
      </c>
      <c r="I523" s="130">
        <v>853.8</v>
      </c>
      <c r="J523" s="130">
        <v>679.5</v>
      </c>
      <c r="K523" s="130">
        <v>679.5</v>
      </c>
      <c r="L523" s="139">
        <v>38</v>
      </c>
      <c r="M523" s="138" t="s">
        <v>271</v>
      </c>
      <c r="N523" s="138" t="s">
        <v>275</v>
      </c>
      <c r="O523" s="136" t="s">
        <v>1370</v>
      </c>
      <c r="P523" s="130">
        <v>2309984.35</v>
      </c>
      <c r="Q523" s="130">
        <v>0</v>
      </c>
      <c r="R523" s="130">
        <v>0</v>
      </c>
      <c r="S523" s="130">
        <f>P523-Q523-R523</f>
        <v>2309984.35</v>
      </c>
      <c r="T523" s="130">
        <f t="shared" si="168"/>
        <v>2705.5333216209888</v>
      </c>
      <c r="U523" s="130">
        <v>3602.6400000000003</v>
      </c>
    </row>
    <row r="524" spans="1:21" s="64" customFormat="1" ht="36" customHeight="1" x14ac:dyDescent="0.9">
      <c r="B524" s="94" t="s">
        <v>901</v>
      </c>
      <c r="C524" s="126"/>
      <c r="D524" s="138" t="s">
        <v>934</v>
      </c>
      <c r="E524" s="138" t="s">
        <v>934</v>
      </c>
      <c r="F524" s="138" t="s">
        <v>934</v>
      </c>
      <c r="G524" s="138" t="s">
        <v>934</v>
      </c>
      <c r="H524" s="138" t="s">
        <v>934</v>
      </c>
      <c r="I524" s="129">
        <f>SUM(I525:I530)</f>
        <v>3456.2</v>
      </c>
      <c r="J524" s="129">
        <f t="shared" ref="J524:L524" si="169">SUM(J525:J530)</f>
        <v>2841.4</v>
      </c>
      <c r="K524" s="129">
        <f t="shared" si="169"/>
        <v>2822.6</v>
      </c>
      <c r="L524" s="139">
        <f t="shared" si="169"/>
        <v>132</v>
      </c>
      <c r="M524" s="138" t="s">
        <v>934</v>
      </c>
      <c r="N524" s="138" t="s">
        <v>934</v>
      </c>
      <c r="O524" s="136" t="s">
        <v>934</v>
      </c>
      <c r="P524" s="130">
        <v>7354613.0300000003</v>
      </c>
      <c r="Q524" s="130">
        <f t="shared" ref="Q524:S524" si="170">SUM(Q525:Q530)</f>
        <v>0</v>
      </c>
      <c r="R524" s="130">
        <f t="shared" si="170"/>
        <v>0</v>
      </c>
      <c r="S524" s="130">
        <f t="shared" si="170"/>
        <v>7354613.0300000003</v>
      </c>
      <c r="T524" s="130">
        <f t="shared" si="168"/>
        <v>2127.9477547595625</v>
      </c>
      <c r="U524" s="130">
        <f>MAX(U525:U530)</f>
        <v>5471.7680223285479</v>
      </c>
    </row>
    <row r="525" spans="1:21" s="64" customFormat="1" ht="36" customHeight="1" x14ac:dyDescent="0.9">
      <c r="A525" s="64">
        <v>1</v>
      </c>
      <c r="B525" s="96">
        <f>SUBTOTAL(103,$A$16:A525)</f>
        <v>451</v>
      </c>
      <c r="C525" s="94" t="s">
        <v>189</v>
      </c>
      <c r="D525" s="138" t="s">
        <v>310</v>
      </c>
      <c r="E525" s="138"/>
      <c r="F525" s="167" t="s">
        <v>273</v>
      </c>
      <c r="G525" s="138" t="s">
        <v>311</v>
      </c>
      <c r="H525" s="138" t="s">
        <v>312</v>
      </c>
      <c r="I525" s="130">
        <v>250.8</v>
      </c>
      <c r="J525" s="130">
        <v>250.8</v>
      </c>
      <c r="K525" s="130">
        <v>250.8</v>
      </c>
      <c r="L525" s="139">
        <v>13</v>
      </c>
      <c r="M525" s="138" t="s">
        <v>271</v>
      </c>
      <c r="N525" s="138" t="s">
        <v>275</v>
      </c>
      <c r="O525" s="136" t="s">
        <v>1057</v>
      </c>
      <c r="P525" s="130">
        <v>1157700</v>
      </c>
      <c r="Q525" s="130">
        <v>0</v>
      </c>
      <c r="R525" s="130">
        <v>0</v>
      </c>
      <c r="S525" s="130">
        <f t="shared" ref="S525:S530" si="171">P525-Q525-R525</f>
        <v>1157700</v>
      </c>
      <c r="T525" s="130">
        <f t="shared" si="168"/>
        <v>4616.0287081339711</v>
      </c>
      <c r="U525" s="130">
        <v>5471.7680223285479</v>
      </c>
    </row>
    <row r="526" spans="1:21" s="64" customFormat="1" ht="36" customHeight="1" x14ac:dyDescent="0.9">
      <c r="A526" s="64">
        <v>1</v>
      </c>
      <c r="B526" s="96">
        <f>SUBTOTAL(103,$A$16:A526)</f>
        <v>452</v>
      </c>
      <c r="C526" s="94" t="s">
        <v>188</v>
      </c>
      <c r="D526" s="138" t="s">
        <v>310</v>
      </c>
      <c r="E526" s="138"/>
      <c r="F526" s="167" t="s">
        <v>273</v>
      </c>
      <c r="G526" s="138" t="s">
        <v>311</v>
      </c>
      <c r="H526" s="138" t="s">
        <v>312</v>
      </c>
      <c r="I526" s="130">
        <v>365</v>
      </c>
      <c r="J526" s="130">
        <v>328</v>
      </c>
      <c r="K526" s="130">
        <v>309.2</v>
      </c>
      <c r="L526" s="139">
        <v>8</v>
      </c>
      <c r="M526" s="138" t="s">
        <v>271</v>
      </c>
      <c r="N526" s="138" t="s">
        <v>272</v>
      </c>
      <c r="O526" s="136" t="s">
        <v>274</v>
      </c>
      <c r="P526" s="130">
        <v>1514699.9999999998</v>
      </c>
      <c r="Q526" s="130">
        <v>0</v>
      </c>
      <c r="R526" s="130">
        <v>0</v>
      </c>
      <c r="S526" s="130">
        <f t="shared" si="171"/>
        <v>1514699.9999999998</v>
      </c>
      <c r="T526" s="130">
        <f t="shared" si="168"/>
        <v>4149.8630136986294</v>
      </c>
      <c r="U526" s="130">
        <v>4919.1825205479454</v>
      </c>
    </row>
    <row r="527" spans="1:21" s="64" customFormat="1" ht="36" customHeight="1" x14ac:dyDescent="0.9">
      <c r="A527" s="64">
        <v>1</v>
      </c>
      <c r="B527" s="96">
        <f>SUBTOTAL(103,$A$16:A527)</f>
        <v>453</v>
      </c>
      <c r="C527" s="94" t="s">
        <v>1340</v>
      </c>
      <c r="D527" s="138">
        <v>1917</v>
      </c>
      <c r="E527" s="138"/>
      <c r="F527" s="167" t="s">
        <v>273</v>
      </c>
      <c r="G527" s="138">
        <v>2</v>
      </c>
      <c r="H527" s="138">
        <v>1</v>
      </c>
      <c r="I527" s="130">
        <v>513</v>
      </c>
      <c r="J527" s="130">
        <v>316.7</v>
      </c>
      <c r="K527" s="130">
        <v>316.7</v>
      </c>
      <c r="L527" s="139">
        <v>21</v>
      </c>
      <c r="M527" s="138" t="s">
        <v>271</v>
      </c>
      <c r="N527" s="138" t="s">
        <v>275</v>
      </c>
      <c r="O527" s="136" t="s">
        <v>1382</v>
      </c>
      <c r="P527" s="130">
        <v>2173966.8199999998</v>
      </c>
      <c r="Q527" s="130">
        <v>0</v>
      </c>
      <c r="R527" s="130">
        <v>0</v>
      </c>
      <c r="S527" s="130">
        <f t="shared" si="171"/>
        <v>2173966.8199999998</v>
      </c>
      <c r="T527" s="130">
        <f t="shared" si="168"/>
        <v>4237.7520857699801</v>
      </c>
      <c r="U527" s="130">
        <v>5154.550105263158</v>
      </c>
    </row>
    <row r="528" spans="1:21" s="64" customFormat="1" ht="36" customHeight="1" x14ac:dyDescent="0.9">
      <c r="A528" s="64">
        <v>1</v>
      </c>
      <c r="B528" s="96">
        <f>SUBTOTAL(103,$A$16:A528)</f>
        <v>454</v>
      </c>
      <c r="C528" s="94" t="s">
        <v>1341</v>
      </c>
      <c r="D528" s="138">
        <v>1917</v>
      </c>
      <c r="E528" s="138"/>
      <c r="F528" s="167" t="s">
        <v>273</v>
      </c>
      <c r="G528" s="138">
        <v>2</v>
      </c>
      <c r="H528" s="138">
        <v>1</v>
      </c>
      <c r="I528" s="130">
        <v>483.1</v>
      </c>
      <c r="J528" s="130">
        <v>426.2</v>
      </c>
      <c r="K528" s="130">
        <v>426.2</v>
      </c>
      <c r="L528" s="139">
        <v>28</v>
      </c>
      <c r="M528" s="138" t="s">
        <v>271</v>
      </c>
      <c r="N528" s="138" t="s">
        <v>275</v>
      </c>
      <c r="O528" s="136" t="s">
        <v>1426</v>
      </c>
      <c r="P528" s="130">
        <v>1493246.2</v>
      </c>
      <c r="Q528" s="130">
        <v>0</v>
      </c>
      <c r="R528" s="130">
        <v>0</v>
      </c>
      <c r="S528" s="130">
        <f t="shared" si="171"/>
        <v>1493246.2</v>
      </c>
      <c r="T528" s="130">
        <f t="shared" si="168"/>
        <v>3090.9670875595111</v>
      </c>
      <c r="U528" s="130">
        <v>5105.6669012626789</v>
      </c>
    </row>
    <row r="529" spans="1:21" s="64" customFormat="1" ht="36" customHeight="1" x14ac:dyDescent="0.9">
      <c r="A529" s="64">
        <v>1</v>
      </c>
      <c r="B529" s="96">
        <f>SUBTOTAL(103,$A$16:A529)</f>
        <v>455</v>
      </c>
      <c r="C529" s="94" t="s">
        <v>1342</v>
      </c>
      <c r="D529" s="138">
        <v>1967</v>
      </c>
      <c r="E529" s="138">
        <v>2014</v>
      </c>
      <c r="F529" s="167" t="s">
        <v>273</v>
      </c>
      <c r="G529" s="138">
        <v>2</v>
      </c>
      <c r="H529" s="138">
        <v>4</v>
      </c>
      <c r="I529" s="130">
        <v>919.3</v>
      </c>
      <c r="J529" s="130">
        <v>760.3</v>
      </c>
      <c r="K529" s="130">
        <v>760.3</v>
      </c>
      <c r="L529" s="139">
        <v>34</v>
      </c>
      <c r="M529" s="138" t="s">
        <v>271</v>
      </c>
      <c r="N529" s="138" t="s">
        <v>275</v>
      </c>
      <c r="O529" s="136" t="s">
        <v>1427</v>
      </c>
      <c r="P529" s="130">
        <v>507500.01</v>
      </c>
      <c r="Q529" s="130">
        <v>0</v>
      </c>
      <c r="R529" s="130">
        <v>0</v>
      </c>
      <c r="S529" s="130">
        <f t="shared" si="171"/>
        <v>507500.01</v>
      </c>
      <c r="T529" s="130">
        <f t="shared" si="168"/>
        <v>552.05048406396179</v>
      </c>
      <c r="U529" s="130">
        <v>673.78</v>
      </c>
    </row>
    <row r="530" spans="1:21" s="64" customFormat="1" ht="36" customHeight="1" x14ac:dyDescent="0.9">
      <c r="A530" s="64">
        <v>1</v>
      </c>
      <c r="B530" s="96">
        <f>SUBTOTAL(103,$A$16:A530)</f>
        <v>456</v>
      </c>
      <c r="C530" s="94" t="s">
        <v>1343</v>
      </c>
      <c r="D530" s="138">
        <v>1967</v>
      </c>
      <c r="E530" s="138">
        <v>2014</v>
      </c>
      <c r="F530" s="167" t="s">
        <v>273</v>
      </c>
      <c r="G530" s="138">
        <v>2</v>
      </c>
      <c r="H530" s="138">
        <v>4</v>
      </c>
      <c r="I530" s="130">
        <v>925</v>
      </c>
      <c r="J530" s="130">
        <v>759.4</v>
      </c>
      <c r="K530" s="130">
        <v>759.4</v>
      </c>
      <c r="L530" s="139">
        <v>28</v>
      </c>
      <c r="M530" s="138" t="s">
        <v>271</v>
      </c>
      <c r="N530" s="138" t="s">
        <v>275</v>
      </c>
      <c r="O530" s="136" t="s">
        <v>1427</v>
      </c>
      <c r="P530" s="130">
        <v>507500</v>
      </c>
      <c r="Q530" s="130">
        <v>0</v>
      </c>
      <c r="R530" s="130">
        <v>0</v>
      </c>
      <c r="S530" s="130">
        <f t="shared" si="171"/>
        <v>507500</v>
      </c>
      <c r="T530" s="130">
        <f t="shared" si="168"/>
        <v>548.64864864864865</v>
      </c>
      <c r="U530" s="130">
        <v>673.78</v>
      </c>
    </row>
    <row r="531" spans="1:21" s="64" customFormat="1" ht="36" customHeight="1" x14ac:dyDescent="0.9">
      <c r="B531" s="94" t="s">
        <v>902</v>
      </c>
      <c r="C531" s="94"/>
      <c r="D531" s="138" t="s">
        <v>934</v>
      </c>
      <c r="E531" s="138" t="s">
        <v>934</v>
      </c>
      <c r="F531" s="138" t="s">
        <v>934</v>
      </c>
      <c r="G531" s="138" t="s">
        <v>934</v>
      </c>
      <c r="H531" s="138" t="s">
        <v>934</v>
      </c>
      <c r="I531" s="129">
        <f>I532</f>
        <v>1755.2</v>
      </c>
      <c r="J531" s="129">
        <f t="shared" ref="J531:L531" si="172">J532</f>
        <v>1537.2</v>
      </c>
      <c r="K531" s="129">
        <f t="shared" si="172"/>
        <v>1537.2</v>
      </c>
      <c r="L531" s="139">
        <f t="shared" si="172"/>
        <v>63</v>
      </c>
      <c r="M531" s="138" t="s">
        <v>934</v>
      </c>
      <c r="N531" s="138" t="s">
        <v>934</v>
      </c>
      <c r="O531" s="136" t="s">
        <v>934</v>
      </c>
      <c r="P531" s="130">
        <v>5403513.4500000002</v>
      </c>
      <c r="Q531" s="130">
        <f t="shared" ref="Q531:S531" si="173">Q532</f>
        <v>0</v>
      </c>
      <c r="R531" s="130">
        <f t="shared" si="173"/>
        <v>0</v>
      </c>
      <c r="S531" s="130">
        <f t="shared" si="173"/>
        <v>5403513.4500000002</v>
      </c>
      <c r="T531" s="130">
        <f t="shared" si="168"/>
        <v>3078.5742080674568</v>
      </c>
      <c r="U531" s="130">
        <f>U532</f>
        <v>3306.5414767547854</v>
      </c>
    </row>
    <row r="532" spans="1:21" s="64" customFormat="1" ht="36" customHeight="1" x14ac:dyDescent="0.9">
      <c r="A532" s="64">
        <v>1</v>
      </c>
      <c r="B532" s="96">
        <f>SUBTOTAL(103,$A$16:A532)</f>
        <v>457</v>
      </c>
      <c r="C532" s="94" t="s">
        <v>192</v>
      </c>
      <c r="D532" s="138">
        <v>1959</v>
      </c>
      <c r="E532" s="138"/>
      <c r="F532" s="167" t="s">
        <v>273</v>
      </c>
      <c r="G532" s="138">
        <v>3</v>
      </c>
      <c r="H532" s="138">
        <v>4</v>
      </c>
      <c r="I532" s="130">
        <v>1755.2</v>
      </c>
      <c r="J532" s="130">
        <v>1537.2</v>
      </c>
      <c r="K532" s="130">
        <v>1537.2</v>
      </c>
      <c r="L532" s="139">
        <v>63</v>
      </c>
      <c r="M532" s="138" t="s">
        <v>271</v>
      </c>
      <c r="N532" s="138" t="s">
        <v>272</v>
      </c>
      <c r="O532" s="136" t="s">
        <v>274</v>
      </c>
      <c r="P532" s="130">
        <v>5403513.4500000002</v>
      </c>
      <c r="Q532" s="130">
        <v>0</v>
      </c>
      <c r="R532" s="130">
        <v>0</v>
      </c>
      <c r="S532" s="130">
        <f>P532-Q532-R532</f>
        <v>5403513.4500000002</v>
      </c>
      <c r="T532" s="130">
        <f t="shared" si="168"/>
        <v>3078.5742080674568</v>
      </c>
      <c r="U532" s="130">
        <v>3306.5414767547854</v>
      </c>
    </row>
    <row r="533" spans="1:21" s="64" customFormat="1" ht="36" customHeight="1" x14ac:dyDescent="0.9">
      <c r="B533" s="94" t="s">
        <v>903</v>
      </c>
      <c r="C533" s="94"/>
      <c r="D533" s="138" t="s">
        <v>934</v>
      </c>
      <c r="E533" s="138" t="s">
        <v>934</v>
      </c>
      <c r="F533" s="138" t="s">
        <v>934</v>
      </c>
      <c r="G533" s="138" t="s">
        <v>934</v>
      </c>
      <c r="H533" s="138" t="s">
        <v>934</v>
      </c>
      <c r="I533" s="129">
        <f>I534+I535</f>
        <v>4920.8999999999996</v>
      </c>
      <c r="J533" s="129">
        <f t="shared" ref="J533:L533" si="174">J534+J535</f>
        <v>2992.2999999999997</v>
      </c>
      <c r="K533" s="129">
        <f t="shared" si="174"/>
        <v>677.6</v>
      </c>
      <c r="L533" s="139">
        <f t="shared" si="174"/>
        <v>133</v>
      </c>
      <c r="M533" s="138" t="s">
        <v>934</v>
      </c>
      <c r="N533" s="138" t="s">
        <v>934</v>
      </c>
      <c r="O533" s="136" t="s">
        <v>934</v>
      </c>
      <c r="P533" s="129">
        <v>8957085.8399999999</v>
      </c>
      <c r="Q533" s="129">
        <f t="shared" ref="Q533:S533" si="175">Q534+Q535</f>
        <v>0</v>
      </c>
      <c r="R533" s="129">
        <f t="shared" si="175"/>
        <v>0</v>
      </c>
      <c r="S533" s="129">
        <f t="shared" si="175"/>
        <v>8957085.8399999999</v>
      </c>
      <c r="T533" s="130">
        <f t="shared" si="168"/>
        <v>1820.2129366579286</v>
      </c>
      <c r="U533" s="130">
        <f>MAX(U534:U535)</f>
        <v>6188.0861422112621</v>
      </c>
    </row>
    <row r="534" spans="1:21" s="64" customFormat="1" ht="36" customHeight="1" x14ac:dyDescent="0.9">
      <c r="A534" s="64">
        <v>1</v>
      </c>
      <c r="B534" s="96">
        <f>SUBTOTAL(103,$A$16:A534)</f>
        <v>458</v>
      </c>
      <c r="C534" s="94" t="s">
        <v>191</v>
      </c>
      <c r="D534" s="138" t="s">
        <v>313</v>
      </c>
      <c r="E534" s="138"/>
      <c r="F534" s="167" t="s">
        <v>273</v>
      </c>
      <c r="G534" s="138" t="s">
        <v>311</v>
      </c>
      <c r="H534" s="138" t="s">
        <v>311</v>
      </c>
      <c r="I534" s="130">
        <v>729.9</v>
      </c>
      <c r="J534" s="130">
        <v>464.1</v>
      </c>
      <c r="K534" s="130">
        <v>464.1</v>
      </c>
      <c r="L534" s="139">
        <v>37</v>
      </c>
      <c r="M534" s="138" t="s">
        <v>271</v>
      </c>
      <c r="N534" s="138" t="s">
        <v>275</v>
      </c>
      <c r="O534" s="136" t="s">
        <v>1058</v>
      </c>
      <c r="P534" s="130">
        <v>3170281.3600000003</v>
      </c>
      <c r="Q534" s="130">
        <v>0</v>
      </c>
      <c r="R534" s="130">
        <v>0</v>
      </c>
      <c r="S534" s="130">
        <f>P534-Q534-R534</f>
        <v>3170281.3600000003</v>
      </c>
      <c r="T534" s="130">
        <f t="shared" si="168"/>
        <v>4343.4461707083165</v>
      </c>
      <c r="U534" s="130">
        <v>6188.0861422112621</v>
      </c>
    </row>
    <row r="535" spans="1:21" s="64" customFormat="1" ht="36" customHeight="1" x14ac:dyDescent="0.9">
      <c r="A535" s="64">
        <v>1</v>
      </c>
      <c r="B535" s="96">
        <f>SUBTOTAL(103,$A$16:A535)</f>
        <v>459</v>
      </c>
      <c r="C535" s="94" t="s">
        <v>1644</v>
      </c>
      <c r="D535" s="138">
        <v>1977</v>
      </c>
      <c r="E535" s="138"/>
      <c r="F535" s="167" t="s">
        <v>273</v>
      </c>
      <c r="G535" s="138">
        <v>5</v>
      </c>
      <c r="H535" s="138">
        <v>1</v>
      </c>
      <c r="I535" s="130">
        <v>4191</v>
      </c>
      <c r="J535" s="130">
        <v>2528.1999999999998</v>
      </c>
      <c r="K535" s="130">
        <v>213.5</v>
      </c>
      <c r="L535" s="139">
        <v>96</v>
      </c>
      <c r="M535" s="138" t="s">
        <v>271</v>
      </c>
      <c r="N535" s="138" t="s">
        <v>275</v>
      </c>
      <c r="O535" s="136" t="s">
        <v>1682</v>
      </c>
      <c r="P535" s="130">
        <v>5786804.4800000004</v>
      </c>
      <c r="Q535" s="130">
        <v>0</v>
      </c>
      <c r="R535" s="130">
        <v>0</v>
      </c>
      <c r="S535" s="130">
        <f>P535-R535-Q535</f>
        <v>5786804.4800000004</v>
      </c>
      <c r="T535" s="130">
        <f t="shared" si="168"/>
        <v>1380.7693820090672</v>
      </c>
      <c r="U535" s="130">
        <v>4920.6943951324265</v>
      </c>
    </row>
    <row r="536" spans="1:21" s="64" customFormat="1" ht="36" customHeight="1" x14ac:dyDescent="0.9">
      <c r="B536" s="94" t="s">
        <v>904</v>
      </c>
      <c r="C536" s="94"/>
      <c r="D536" s="138" t="s">
        <v>934</v>
      </c>
      <c r="E536" s="138" t="s">
        <v>934</v>
      </c>
      <c r="F536" s="138" t="s">
        <v>934</v>
      </c>
      <c r="G536" s="138" t="s">
        <v>934</v>
      </c>
      <c r="H536" s="138" t="s">
        <v>934</v>
      </c>
      <c r="I536" s="129">
        <f>I537</f>
        <v>428.4</v>
      </c>
      <c r="J536" s="129">
        <f t="shared" ref="J536:L536" si="176">J537</f>
        <v>385.4</v>
      </c>
      <c r="K536" s="129">
        <f t="shared" si="176"/>
        <v>385.4</v>
      </c>
      <c r="L536" s="139">
        <f t="shared" si="176"/>
        <v>20</v>
      </c>
      <c r="M536" s="138" t="s">
        <v>934</v>
      </c>
      <c r="N536" s="138" t="s">
        <v>934</v>
      </c>
      <c r="O536" s="136" t="s">
        <v>934</v>
      </c>
      <c r="P536" s="130">
        <v>2733218.92</v>
      </c>
      <c r="Q536" s="130">
        <f t="shared" ref="Q536:S536" si="177">Q537</f>
        <v>0</v>
      </c>
      <c r="R536" s="130">
        <f t="shared" si="177"/>
        <v>0</v>
      </c>
      <c r="S536" s="130">
        <f t="shared" si="177"/>
        <v>2733218.92</v>
      </c>
      <c r="T536" s="130">
        <f t="shared" si="168"/>
        <v>6380.0628384687207</v>
      </c>
      <c r="U536" s="130">
        <f>U537</f>
        <v>6380.0628384687207</v>
      </c>
    </row>
    <row r="537" spans="1:21" s="64" customFormat="1" ht="36" customHeight="1" x14ac:dyDescent="0.9">
      <c r="A537" s="64">
        <v>1</v>
      </c>
      <c r="B537" s="96">
        <f>SUBTOTAL(103,$A$16:A537)</f>
        <v>460</v>
      </c>
      <c r="C537" s="94" t="s">
        <v>190</v>
      </c>
      <c r="D537" s="138" t="s">
        <v>314</v>
      </c>
      <c r="E537" s="138"/>
      <c r="F537" s="167" t="s">
        <v>273</v>
      </c>
      <c r="G537" s="138" t="s">
        <v>311</v>
      </c>
      <c r="H537" s="138" t="s">
        <v>311</v>
      </c>
      <c r="I537" s="130">
        <v>428.4</v>
      </c>
      <c r="J537" s="130">
        <v>385.4</v>
      </c>
      <c r="K537" s="130">
        <v>385.4</v>
      </c>
      <c r="L537" s="139">
        <v>20</v>
      </c>
      <c r="M537" s="138" t="s">
        <v>271</v>
      </c>
      <c r="N537" s="138" t="s">
        <v>272</v>
      </c>
      <c r="O537" s="136" t="s">
        <v>274</v>
      </c>
      <c r="P537" s="130">
        <v>2733218.92</v>
      </c>
      <c r="Q537" s="130">
        <v>0</v>
      </c>
      <c r="R537" s="130">
        <v>0</v>
      </c>
      <c r="S537" s="130">
        <f>P537-Q537-R537</f>
        <v>2733218.92</v>
      </c>
      <c r="T537" s="130">
        <f t="shared" si="168"/>
        <v>6380.0628384687207</v>
      </c>
      <c r="U537" s="130">
        <v>6380.0628384687207</v>
      </c>
    </row>
    <row r="538" spans="1:21" s="64" customFormat="1" ht="36" customHeight="1" x14ac:dyDescent="0.9">
      <c r="B538" s="94" t="s">
        <v>905</v>
      </c>
      <c r="C538" s="126"/>
      <c r="D538" s="138" t="s">
        <v>934</v>
      </c>
      <c r="E538" s="138" t="s">
        <v>934</v>
      </c>
      <c r="F538" s="138" t="s">
        <v>934</v>
      </c>
      <c r="G538" s="138" t="s">
        <v>934</v>
      </c>
      <c r="H538" s="138" t="s">
        <v>934</v>
      </c>
      <c r="I538" s="129">
        <f>SUM(I539:I546)</f>
        <v>11982.3</v>
      </c>
      <c r="J538" s="129">
        <f t="shared" ref="J538:L538" si="178">SUM(J539:J546)</f>
        <v>9878.380000000001</v>
      </c>
      <c r="K538" s="129">
        <f t="shared" si="178"/>
        <v>8520.4</v>
      </c>
      <c r="L538" s="139">
        <f t="shared" si="178"/>
        <v>561</v>
      </c>
      <c r="M538" s="138" t="s">
        <v>934</v>
      </c>
      <c r="N538" s="138" t="s">
        <v>934</v>
      </c>
      <c r="O538" s="136" t="s">
        <v>934</v>
      </c>
      <c r="P538" s="129">
        <v>18660147.93</v>
      </c>
      <c r="Q538" s="129">
        <f t="shared" ref="Q538:S538" si="179">SUM(Q539:Q546)</f>
        <v>0</v>
      </c>
      <c r="R538" s="129">
        <f t="shared" si="179"/>
        <v>0</v>
      </c>
      <c r="S538" s="129">
        <f t="shared" si="179"/>
        <v>18660147.93</v>
      </c>
      <c r="T538" s="130">
        <f t="shared" si="168"/>
        <v>1557.3093588042364</v>
      </c>
      <c r="U538" s="130">
        <f>MAX(U539:U546)</f>
        <v>2768.0599183048253</v>
      </c>
    </row>
    <row r="539" spans="1:21" s="64" customFormat="1" ht="36" customHeight="1" x14ac:dyDescent="0.9">
      <c r="A539" s="64">
        <v>1</v>
      </c>
      <c r="B539" s="96">
        <f>SUBTOTAL(103,$A$16:A539)</f>
        <v>461</v>
      </c>
      <c r="C539" s="94" t="s">
        <v>221</v>
      </c>
      <c r="D539" s="138">
        <v>1974</v>
      </c>
      <c r="E539" s="138"/>
      <c r="F539" s="167" t="s">
        <v>273</v>
      </c>
      <c r="G539" s="138">
        <v>5</v>
      </c>
      <c r="H539" s="138">
        <v>4</v>
      </c>
      <c r="I539" s="130">
        <v>3601.7</v>
      </c>
      <c r="J539" s="130">
        <v>3307.8</v>
      </c>
      <c r="K539" s="130">
        <v>3214.4</v>
      </c>
      <c r="L539" s="139">
        <v>129</v>
      </c>
      <c r="M539" s="138" t="s">
        <v>271</v>
      </c>
      <c r="N539" s="138" t="s">
        <v>275</v>
      </c>
      <c r="O539" s="136" t="s">
        <v>340</v>
      </c>
      <c r="P539" s="130">
        <v>5918262.9900000002</v>
      </c>
      <c r="Q539" s="130">
        <v>0</v>
      </c>
      <c r="R539" s="130">
        <v>0</v>
      </c>
      <c r="S539" s="130">
        <f t="shared" ref="S539:S544" si="180">P539-Q539-R539</f>
        <v>5918262.9900000002</v>
      </c>
      <c r="T539" s="130">
        <f t="shared" si="168"/>
        <v>1643.1859927256576</v>
      </c>
      <c r="U539" s="130">
        <v>1952.0976150151321</v>
      </c>
    </row>
    <row r="540" spans="1:21" s="64" customFormat="1" ht="36" customHeight="1" x14ac:dyDescent="0.9">
      <c r="A540" s="64">
        <v>1</v>
      </c>
      <c r="B540" s="96">
        <f>SUBTOTAL(103,$A$16:A540)</f>
        <v>462</v>
      </c>
      <c r="C540" s="94" t="s">
        <v>222</v>
      </c>
      <c r="D540" s="138">
        <v>1992</v>
      </c>
      <c r="E540" s="138"/>
      <c r="F540" s="167" t="s">
        <v>319</v>
      </c>
      <c r="G540" s="138">
        <v>2</v>
      </c>
      <c r="H540" s="138">
        <v>2</v>
      </c>
      <c r="I540" s="130">
        <v>690.3</v>
      </c>
      <c r="J540" s="130">
        <v>630.29999999999995</v>
      </c>
      <c r="K540" s="130">
        <v>630.29999999999995</v>
      </c>
      <c r="L540" s="139">
        <v>25</v>
      </c>
      <c r="M540" s="138" t="s">
        <v>271</v>
      </c>
      <c r="N540" s="138" t="s">
        <v>275</v>
      </c>
      <c r="O540" s="136" t="s">
        <v>340</v>
      </c>
      <c r="P540" s="130">
        <v>706896.33000000007</v>
      </c>
      <c r="Q540" s="130">
        <v>0</v>
      </c>
      <c r="R540" s="130">
        <v>0</v>
      </c>
      <c r="S540" s="130">
        <f t="shared" si="180"/>
        <v>706896.33000000007</v>
      </c>
      <c r="T540" s="130">
        <f t="shared" si="168"/>
        <v>1024.0421990438942</v>
      </c>
      <c r="U540" s="130">
        <v>2753.19</v>
      </c>
    </row>
    <row r="541" spans="1:21" s="64" customFormat="1" ht="36" customHeight="1" x14ac:dyDescent="0.9">
      <c r="A541" s="64">
        <v>1</v>
      </c>
      <c r="B541" s="96">
        <f>SUBTOTAL(103,$A$16:A541)</f>
        <v>463</v>
      </c>
      <c r="C541" s="94" t="s">
        <v>1344</v>
      </c>
      <c r="D541" s="138">
        <v>1967</v>
      </c>
      <c r="E541" s="138"/>
      <c r="F541" s="167" t="s">
        <v>273</v>
      </c>
      <c r="G541" s="138">
        <v>4</v>
      </c>
      <c r="H541" s="138">
        <v>2</v>
      </c>
      <c r="I541" s="130">
        <v>2162.6999999999998</v>
      </c>
      <c r="J541" s="130">
        <v>1343.3</v>
      </c>
      <c r="K541" s="130">
        <v>620.5</v>
      </c>
      <c r="L541" s="139">
        <v>138</v>
      </c>
      <c r="M541" s="138" t="s">
        <v>271</v>
      </c>
      <c r="N541" s="138" t="s">
        <v>275</v>
      </c>
      <c r="O541" s="136" t="s">
        <v>1372</v>
      </c>
      <c r="P541" s="130">
        <v>3239861.98</v>
      </c>
      <c r="Q541" s="130">
        <v>0</v>
      </c>
      <c r="R541" s="130">
        <v>0</v>
      </c>
      <c r="S541" s="130">
        <f t="shared" si="180"/>
        <v>3239861.98</v>
      </c>
      <c r="T541" s="130">
        <f t="shared" si="168"/>
        <v>1498.063522448791</v>
      </c>
      <c r="U541" s="130">
        <v>2753.19</v>
      </c>
    </row>
    <row r="542" spans="1:21" s="64" customFormat="1" ht="36" customHeight="1" x14ac:dyDescent="0.9">
      <c r="A542" s="64">
        <v>1</v>
      </c>
      <c r="B542" s="96">
        <f>SUBTOTAL(103,$A$16:A542)</f>
        <v>464</v>
      </c>
      <c r="C542" s="94" t="s">
        <v>1345</v>
      </c>
      <c r="D542" s="138">
        <v>1980</v>
      </c>
      <c r="E542" s="138"/>
      <c r="F542" s="167" t="s">
        <v>273</v>
      </c>
      <c r="G542" s="138">
        <v>2</v>
      </c>
      <c r="H542" s="138">
        <v>3</v>
      </c>
      <c r="I542" s="130">
        <v>952.3</v>
      </c>
      <c r="J542" s="130">
        <v>869.8</v>
      </c>
      <c r="K542" s="130">
        <v>754.7</v>
      </c>
      <c r="L542" s="139">
        <v>47</v>
      </c>
      <c r="M542" s="138" t="s">
        <v>271</v>
      </c>
      <c r="N542" s="138" t="s">
        <v>275</v>
      </c>
      <c r="O542" s="136" t="s">
        <v>1372</v>
      </c>
      <c r="P542" s="130">
        <v>2323778.17</v>
      </c>
      <c r="Q542" s="130">
        <v>0</v>
      </c>
      <c r="R542" s="130">
        <v>0</v>
      </c>
      <c r="S542" s="130">
        <f t="shared" si="180"/>
        <v>2323778.17</v>
      </c>
      <c r="T542" s="130">
        <f t="shared" si="168"/>
        <v>2440.1744933319333</v>
      </c>
      <c r="U542" s="130">
        <v>2753.19</v>
      </c>
    </row>
    <row r="543" spans="1:21" s="64" customFormat="1" ht="36" customHeight="1" x14ac:dyDescent="0.9">
      <c r="A543" s="64">
        <v>1</v>
      </c>
      <c r="B543" s="96">
        <f>SUBTOTAL(103,$A$16:A543)</f>
        <v>465</v>
      </c>
      <c r="C543" s="94" t="s">
        <v>1346</v>
      </c>
      <c r="D543" s="138">
        <v>1967</v>
      </c>
      <c r="E543" s="138"/>
      <c r="F543" s="167" t="s">
        <v>273</v>
      </c>
      <c r="G543" s="138">
        <v>2</v>
      </c>
      <c r="H543" s="138">
        <v>2</v>
      </c>
      <c r="I543" s="130">
        <v>783.4</v>
      </c>
      <c r="J543" s="130">
        <v>725.6</v>
      </c>
      <c r="K543" s="130">
        <v>680.1</v>
      </c>
      <c r="L543" s="139">
        <v>35</v>
      </c>
      <c r="M543" s="138" t="s">
        <v>271</v>
      </c>
      <c r="N543" s="138" t="s">
        <v>275</v>
      </c>
      <c r="O543" s="136" t="s">
        <v>1372</v>
      </c>
      <c r="P543" s="130">
        <v>2168498.14</v>
      </c>
      <c r="Q543" s="130">
        <v>0</v>
      </c>
      <c r="R543" s="130">
        <v>0</v>
      </c>
      <c r="S543" s="130">
        <f t="shared" si="180"/>
        <v>2168498.14</v>
      </c>
      <c r="T543" s="130">
        <f t="shared" si="168"/>
        <v>2768.0599183048253</v>
      </c>
      <c r="U543" s="130">
        <v>2768.0599183048253</v>
      </c>
    </row>
    <row r="544" spans="1:21" s="64" customFormat="1" ht="36" customHeight="1" x14ac:dyDescent="0.9">
      <c r="A544" s="64">
        <v>1</v>
      </c>
      <c r="B544" s="96">
        <f>SUBTOTAL(103,$A$16:A544)</f>
        <v>466</v>
      </c>
      <c r="C544" s="94" t="s">
        <v>1347</v>
      </c>
      <c r="D544" s="138">
        <v>1964</v>
      </c>
      <c r="E544" s="138"/>
      <c r="F544" s="167" t="s">
        <v>273</v>
      </c>
      <c r="G544" s="138">
        <v>2</v>
      </c>
      <c r="H544" s="138">
        <v>4</v>
      </c>
      <c r="I544" s="130">
        <v>1833.6</v>
      </c>
      <c r="J544" s="130">
        <v>1215.3800000000001</v>
      </c>
      <c r="K544" s="130">
        <v>986.3</v>
      </c>
      <c r="L544" s="139">
        <v>109</v>
      </c>
      <c r="M544" s="138" t="s">
        <v>271</v>
      </c>
      <c r="N544" s="138" t="s">
        <v>275</v>
      </c>
      <c r="O544" s="136" t="s">
        <v>1372</v>
      </c>
      <c r="P544" s="130">
        <v>2920505.33</v>
      </c>
      <c r="Q544" s="130">
        <v>0</v>
      </c>
      <c r="R544" s="130">
        <v>0</v>
      </c>
      <c r="S544" s="130">
        <f t="shared" si="180"/>
        <v>2920505.33</v>
      </c>
      <c r="T544" s="130">
        <f t="shared" si="168"/>
        <v>1592.7712314572427</v>
      </c>
      <c r="U544" s="130">
        <v>2753.19</v>
      </c>
    </row>
    <row r="545" spans="1:21" s="64" customFormat="1" ht="36" customHeight="1" x14ac:dyDescent="0.9">
      <c r="A545" s="64">
        <v>1</v>
      </c>
      <c r="B545" s="96">
        <f>SUBTOTAL(103,$A$16:A545)</f>
        <v>467</v>
      </c>
      <c r="C545" s="94" t="s">
        <v>1658</v>
      </c>
      <c r="D545" s="138">
        <v>1981</v>
      </c>
      <c r="E545" s="138"/>
      <c r="F545" s="167" t="s">
        <v>1674</v>
      </c>
      <c r="G545" s="138">
        <v>2</v>
      </c>
      <c r="H545" s="138">
        <v>3</v>
      </c>
      <c r="I545" s="130">
        <v>922.9</v>
      </c>
      <c r="J545" s="130">
        <v>838.7</v>
      </c>
      <c r="K545" s="130">
        <f>J545</f>
        <v>838.7</v>
      </c>
      <c r="L545" s="139">
        <v>43</v>
      </c>
      <c r="M545" s="138" t="s">
        <v>271</v>
      </c>
      <c r="N545" s="138" t="s">
        <v>272</v>
      </c>
      <c r="O545" s="136" t="s">
        <v>274</v>
      </c>
      <c r="P545" s="130">
        <v>655655</v>
      </c>
      <c r="Q545" s="130">
        <v>0</v>
      </c>
      <c r="R545" s="130">
        <v>0</v>
      </c>
      <c r="S545" s="130">
        <f t="shared" ref="S545:S546" si="181">P545-R545-Q545</f>
        <v>655655</v>
      </c>
      <c r="T545" s="130">
        <f t="shared" si="168"/>
        <v>710.4290822407628</v>
      </c>
      <c r="U545" s="130">
        <v>2753.19</v>
      </c>
    </row>
    <row r="546" spans="1:21" s="64" customFormat="1" ht="36" customHeight="1" x14ac:dyDescent="0.9">
      <c r="A546" s="64">
        <v>1</v>
      </c>
      <c r="B546" s="96">
        <f>SUBTOTAL(103,$A$16:A546)</f>
        <v>468</v>
      </c>
      <c r="C546" s="94" t="s">
        <v>1659</v>
      </c>
      <c r="D546" s="138">
        <v>1980</v>
      </c>
      <c r="E546" s="138"/>
      <c r="F546" s="167" t="s">
        <v>1674</v>
      </c>
      <c r="G546" s="138">
        <v>2</v>
      </c>
      <c r="H546" s="138">
        <v>3</v>
      </c>
      <c r="I546" s="130">
        <v>1035.4000000000001</v>
      </c>
      <c r="J546" s="130">
        <v>947.5</v>
      </c>
      <c r="K546" s="130">
        <f>J546-152.1</f>
        <v>795.4</v>
      </c>
      <c r="L546" s="139">
        <v>35</v>
      </c>
      <c r="M546" s="138" t="s">
        <v>271</v>
      </c>
      <c r="N546" s="138" t="s">
        <v>272</v>
      </c>
      <c r="O546" s="136" t="s">
        <v>274</v>
      </c>
      <c r="P546" s="130">
        <v>726689.99</v>
      </c>
      <c r="Q546" s="130">
        <v>0</v>
      </c>
      <c r="R546" s="130">
        <v>0</v>
      </c>
      <c r="S546" s="130">
        <f t="shared" si="181"/>
        <v>726689.99</v>
      </c>
      <c r="T546" s="130">
        <f t="shared" si="168"/>
        <v>701.84468804326821</v>
      </c>
      <c r="U546" s="130">
        <v>2753.19</v>
      </c>
    </row>
    <row r="547" spans="1:21" s="64" customFormat="1" ht="36" customHeight="1" x14ac:dyDescent="0.9">
      <c r="B547" s="94" t="s">
        <v>906</v>
      </c>
      <c r="C547" s="94"/>
      <c r="D547" s="138" t="s">
        <v>934</v>
      </c>
      <c r="E547" s="138" t="s">
        <v>934</v>
      </c>
      <c r="F547" s="138" t="s">
        <v>934</v>
      </c>
      <c r="G547" s="138" t="s">
        <v>934</v>
      </c>
      <c r="H547" s="138" t="s">
        <v>934</v>
      </c>
      <c r="I547" s="129">
        <f>SUM(I548:I552)</f>
        <v>3295.2</v>
      </c>
      <c r="J547" s="129">
        <f t="shared" ref="J547:L547" si="182">SUM(J548:J552)</f>
        <v>2918.8999999999996</v>
      </c>
      <c r="K547" s="129">
        <f t="shared" si="182"/>
        <v>2901.2</v>
      </c>
      <c r="L547" s="139">
        <f t="shared" si="182"/>
        <v>81</v>
      </c>
      <c r="M547" s="138" t="s">
        <v>934</v>
      </c>
      <c r="N547" s="138" t="s">
        <v>934</v>
      </c>
      <c r="O547" s="136" t="s">
        <v>934</v>
      </c>
      <c r="P547" s="130">
        <v>7944432.1499999994</v>
      </c>
      <c r="Q547" s="130">
        <f t="shared" ref="Q547:S547" si="183">SUM(Q548:Q552)</f>
        <v>0</v>
      </c>
      <c r="R547" s="130">
        <f t="shared" si="183"/>
        <v>0</v>
      </c>
      <c r="S547" s="130">
        <f t="shared" si="183"/>
        <v>7944432.1499999994</v>
      </c>
      <c r="T547" s="130">
        <f t="shared" si="168"/>
        <v>2410.9104606700657</v>
      </c>
      <c r="U547" s="130">
        <f>MAX(U548:U552)</f>
        <v>5212.9449163449162</v>
      </c>
    </row>
    <row r="548" spans="1:21" s="64" customFormat="1" ht="36" customHeight="1" x14ac:dyDescent="0.9">
      <c r="A548" s="64">
        <v>1</v>
      </c>
      <c r="B548" s="96">
        <f>SUBTOTAL(103,$A$16:A548)</f>
        <v>469</v>
      </c>
      <c r="C548" s="94" t="s">
        <v>224</v>
      </c>
      <c r="D548" s="138">
        <v>1973</v>
      </c>
      <c r="E548" s="138"/>
      <c r="F548" s="167" t="s">
        <v>273</v>
      </c>
      <c r="G548" s="138">
        <v>2</v>
      </c>
      <c r="H548" s="138">
        <v>2</v>
      </c>
      <c r="I548" s="130">
        <v>775.5</v>
      </c>
      <c r="J548" s="130">
        <v>715.8</v>
      </c>
      <c r="K548" s="130">
        <v>715.8</v>
      </c>
      <c r="L548" s="139">
        <v>16</v>
      </c>
      <c r="M548" s="138" t="s">
        <v>271</v>
      </c>
      <c r="N548" s="138" t="s">
        <v>275</v>
      </c>
      <c r="O548" s="136" t="s">
        <v>340</v>
      </c>
      <c r="P548" s="130">
        <v>197289.34</v>
      </c>
      <c r="Q548" s="130">
        <v>0</v>
      </c>
      <c r="R548" s="130">
        <v>0</v>
      </c>
      <c r="S548" s="130">
        <f t="shared" ref="S548:S552" si="184">P548-Q548-R548</f>
        <v>197289.34</v>
      </c>
      <c r="T548" s="130">
        <f t="shared" si="168"/>
        <v>254.40275950999356</v>
      </c>
      <c r="U548" s="130">
        <v>254.40275950999356</v>
      </c>
    </row>
    <row r="549" spans="1:21" s="64" customFormat="1" ht="36" customHeight="1" x14ac:dyDescent="0.9">
      <c r="A549" s="64">
        <v>1</v>
      </c>
      <c r="B549" s="96">
        <f>SUBTOTAL(103,$A$16:A549)</f>
        <v>470</v>
      </c>
      <c r="C549" s="94" t="s">
        <v>225</v>
      </c>
      <c r="D549" s="138">
        <v>1971</v>
      </c>
      <c r="E549" s="138"/>
      <c r="F549" s="167" t="s">
        <v>273</v>
      </c>
      <c r="G549" s="138">
        <v>2</v>
      </c>
      <c r="H549" s="138">
        <v>2</v>
      </c>
      <c r="I549" s="130">
        <v>777</v>
      </c>
      <c r="J549" s="130">
        <v>718.1</v>
      </c>
      <c r="K549" s="130">
        <v>718.1</v>
      </c>
      <c r="L549" s="139">
        <v>16</v>
      </c>
      <c r="M549" s="138" t="s">
        <v>271</v>
      </c>
      <c r="N549" s="138" t="s">
        <v>275</v>
      </c>
      <c r="O549" s="136" t="s">
        <v>340</v>
      </c>
      <c r="P549" s="130">
        <v>3417000</v>
      </c>
      <c r="Q549" s="130">
        <v>0</v>
      </c>
      <c r="R549" s="130">
        <v>0</v>
      </c>
      <c r="S549" s="130">
        <f t="shared" si="184"/>
        <v>3417000</v>
      </c>
      <c r="T549" s="130">
        <f t="shared" si="168"/>
        <v>4397.6833976833977</v>
      </c>
      <c r="U549" s="130">
        <v>5212.9449163449162</v>
      </c>
    </row>
    <row r="550" spans="1:21" s="64" customFormat="1" ht="36" customHeight="1" x14ac:dyDescent="0.9">
      <c r="A550" s="64">
        <v>1</v>
      </c>
      <c r="B550" s="96">
        <f>SUBTOTAL(103,$A$16:A550)</f>
        <v>471</v>
      </c>
      <c r="C550" s="94" t="s">
        <v>230</v>
      </c>
      <c r="D550" s="138">
        <v>1978</v>
      </c>
      <c r="E550" s="138"/>
      <c r="F550" s="167" t="s">
        <v>319</v>
      </c>
      <c r="G550" s="138">
        <v>3</v>
      </c>
      <c r="H550" s="138">
        <v>2</v>
      </c>
      <c r="I550" s="130">
        <v>1015.3</v>
      </c>
      <c r="J550" s="130">
        <v>929.3</v>
      </c>
      <c r="K550" s="130">
        <v>929.3</v>
      </c>
      <c r="L550" s="139">
        <v>18</v>
      </c>
      <c r="M550" s="138" t="s">
        <v>271</v>
      </c>
      <c r="N550" s="138" t="s">
        <v>275</v>
      </c>
      <c r="O550" s="136" t="s">
        <v>340</v>
      </c>
      <c r="P550" s="130">
        <v>2510572.7999999998</v>
      </c>
      <c r="Q550" s="130">
        <v>0</v>
      </c>
      <c r="R550" s="130">
        <v>0</v>
      </c>
      <c r="S550" s="130">
        <f t="shared" si="184"/>
        <v>2510572.7999999998</v>
      </c>
      <c r="T550" s="130">
        <f t="shared" si="168"/>
        <v>2472.7398798384711</v>
      </c>
      <c r="U550" s="130">
        <v>2472.7398798384711</v>
      </c>
    </row>
    <row r="551" spans="1:21" s="64" customFormat="1" ht="36" customHeight="1" x14ac:dyDescent="0.9">
      <c r="A551" s="64">
        <v>1</v>
      </c>
      <c r="B551" s="96">
        <f>SUBTOTAL(103,$A$16:A551)</f>
        <v>472</v>
      </c>
      <c r="C551" s="94" t="s">
        <v>1160</v>
      </c>
      <c r="D551" s="138">
        <v>1938</v>
      </c>
      <c r="E551" s="138"/>
      <c r="F551" s="167" t="s">
        <v>338</v>
      </c>
      <c r="G551" s="138">
        <v>2</v>
      </c>
      <c r="H551" s="138">
        <v>1</v>
      </c>
      <c r="I551" s="130">
        <v>369.2</v>
      </c>
      <c r="J551" s="130">
        <v>222.5</v>
      </c>
      <c r="K551" s="130">
        <v>204.8</v>
      </c>
      <c r="L551" s="139">
        <v>16</v>
      </c>
      <c r="M551" s="138" t="s">
        <v>271</v>
      </c>
      <c r="N551" s="138" t="s">
        <v>272</v>
      </c>
      <c r="O551" s="136" t="s">
        <v>274</v>
      </c>
      <c r="P551" s="130">
        <v>1509999.9999999998</v>
      </c>
      <c r="Q551" s="130">
        <v>0</v>
      </c>
      <c r="R551" s="130">
        <v>0</v>
      </c>
      <c r="S551" s="130">
        <f t="shared" si="184"/>
        <v>1509999.9999999998</v>
      </c>
      <c r="T551" s="130">
        <f t="shared" si="168"/>
        <v>4089.9241603466949</v>
      </c>
      <c r="U551" s="130">
        <v>4089.9241603466949</v>
      </c>
    </row>
    <row r="552" spans="1:21" s="64" customFormat="1" ht="36" customHeight="1" x14ac:dyDescent="0.9">
      <c r="A552" s="64">
        <v>1</v>
      </c>
      <c r="B552" s="96">
        <f>SUBTOTAL(103,$A$16:A552)</f>
        <v>473</v>
      </c>
      <c r="C552" s="94" t="s">
        <v>1348</v>
      </c>
      <c r="D552" s="138">
        <v>1970</v>
      </c>
      <c r="E552" s="138"/>
      <c r="F552" s="167" t="s">
        <v>273</v>
      </c>
      <c r="G552" s="138">
        <v>2</v>
      </c>
      <c r="H552" s="138">
        <v>1</v>
      </c>
      <c r="I552" s="130">
        <v>358.2</v>
      </c>
      <c r="J552" s="130">
        <v>333.2</v>
      </c>
      <c r="K552" s="130">
        <v>333.2</v>
      </c>
      <c r="L552" s="139">
        <v>15</v>
      </c>
      <c r="M552" s="138" t="s">
        <v>271</v>
      </c>
      <c r="N552" s="138" t="s">
        <v>275</v>
      </c>
      <c r="O552" s="136" t="s">
        <v>1428</v>
      </c>
      <c r="P552" s="130">
        <v>309570.01</v>
      </c>
      <c r="Q552" s="130">
        <v>0</v>
      </c>
      <c r="R552" s="130">
        <v>0</v>
      </c>
      <c r="S552" s="130">
        <f t="shared" si="184"/>
        <v>309570.01</v>
      </c>
      <c r="T552" s="130">
        <f t="shared" si="168"/>
        <v>864.23788386376327</v>
      </c>
      <c r="U552" s="130">
        <v>864.23788386376327</v>
      </c>
    </row>
    <row r="553" spans="1:21" s="64" customFormat="1" ht="36" customHeight="1" x14ac:dyDescent="0.9">
      <c r="B553" s="94" t="s">
        <v>907</v>
      </c>
      <c r="C553" s="94"/>
      <c r="D553" s="138" t="s">
        <v>934</v>
      </c>
      <c r="E553" s="138" t="s">
        <v>934</v>
      </c>
      <c r="F553" s="138" t="s">
        <v>934</v>
      </c>
      <c r="G553" s="138" t="s">
        <v>934</v>
      </c>
      <c r="H553" s="138" t="s">
        <v>934</v>
      </c>
      <c r="I553" s="129">
        <f>SUM(I554:I556)</f>
        <v>1634.9</v>
      </c>
      <c r="J553" s="129">
        <f t="shared" ref="J553:L553" si="185">SUM(J554:J556)</f>
        <v>1609.9</v>
      </c>
      <c r="K553" s="129">
        <f t="shared" si="185"/>
        <v>1149.7</v>
      </c>
      <c r="L553" s="139">
        <f t="shared" si="185"/>
        <v>75</v>
      </c>
      <c r="M553" s="138" t="s">
        <v>934</v>
      </c>
      <c r="N553" s="138" t="s">
        <v>934</v>
      </c>
      <c r="O553" s="136" t="s">
        <v>934</v>
      </c>
      <c r="P553" s="130">
        <v>786720.65</v>
      </c>
      <c r="Q553" s="130">
        <f t="shared" ref="Q553:S553" si="186">Q554+Q555+Q556</f>
        <v>0</v>
      </c>
      <c r="R553" s="130">
        <f t="shared" si="186"/>
        <v>0</v>
      </c>
      <c r="S553" s="130">
        <f t="shared" si="186"/>
        <v>786720.65</v>
      </c>
      <c r="T553" s="130">
        <f t="shared" si="168"/>
        <v>481.20414092605051</v>
      </c>
      <c r="U553" s="130">
        <f>MAX(U554:U556)</f>
        <v>1715.5844675740593</v>
      </c>
    </row>
    <row r="554" spans="1:21" s="64" customFormat="1" ht="36" customHeight="1" x14ac:dyDescent="0.9">
      <c r="A554" s="64">
        <v>1</v>
      </c>
      <c r="B554" s="96">
        <f>SUBTOTAL(103,$A$16:A554)</f>
        <v>474</v>
      </c>
      <c r="C554" s="94" t="s">
        <v>228</v>
      </c>
      <c r="D554" s="138">
        <v>1962</v>
      </c>
      <c r="E554" s="138"/>
      <c r="F554" s="167" t="s">
        <v>273</v>
      </c>
      <c r="G554" s="138">
        <v>2</v>
      </c>
      <c r="H554" s="138">
        <v>1</v>
      </c>
      <c r="I554" s="130">
        <v>212.1</v>
      </c>
      <c r="J554" s="130">
        <v>187.1</v>
      </c>
      <c r="K554" s="130">
        <v>187.1</v>
      </c>
      <c r="L554" s="139">
        <v>11</v>
      </c>
      <c r="M554" s="138" t="s">
        <v>271</v>
      </c>
      <c r="N554" s="138" t="s">
        <v>272</v>
      </c>
      <c r="O554" s="136" t="s">
        <v>274</v>
      </c>
      <c r="P554" s="130">
        <v>221852.56</v>
      </c>
      <c r="Q554" s="130">
        <v>0</v>
      </c>
      <c r="R554" s="130">
        <v>0</v>
      </c>
      <c r="S554" s="130">
        <f t="shared" ref="S554:S556" si="187">P554-Q554-R554</f>
        <v>221852.56</v>
      </c>
      <c r="T554" s="130">
        <f t="shared" si="168"/>
        <v>1045.9809523809524</v>
      </c>
      <c r="U554" s="130">
        <v>1045.9809523809524</v>
      </c>
    </row>
    <row r="555" spans="1:21" s="64" customFormat="1" ht="36" customHeight="1" x14ac:dyDescent="0.9">
      <c r="A555" s="64">
        <v>1</v>
      </c>
      <c r="B555" s="96">
        <f>SUBTOTAL(103,$A$16:A555)</f>
        <v>475</v>
      </c>
      <c r="C555" s="94" t="s">
        <v>1360</v>
      </c>
      <c r="D555" s="138">
        <v>1976</v>
      </c>
      <c r="E555" s="138"/>
      <c r="F555" s="167" t="s">
        <v>273</v>
      </c>
      <c r="G555" s="138">
        <v>2</v>
      </c>
      <c r="H555" s="138">
        <v>2</v>
      </c>
      <c r="I555" s="130">
        <v>798.3</v>
      </c>
      <c r="J555" s="130">
        <v>798.3</v>
      </c>
      <c r="K555" s="130">
        <v>587.79999999999995</v>
      </c>
      <c r="L555" s="139">
        <v>32</v>
      </c>
      <c r="M555" s="138" t="s">
        <v>271</v>
      </c>
      <c r="N555" s="138" t="s">
        <v>272</v>
      </c>
      <c r="O555" s="136" t="s">
        <v>274</v>
      </c>
      <c r="P555" s="130">
        <v>253750</v>
      </c>
      <c r="Q555" s="130">
        <v>0</v>
      </c>
      <c r="R555" s="130">
        <v>0</v>
      </c>
      <c r="S555" s="130">
        <f t="shared" si="187"/>
        <v>253750</v>
      </c>
      <c r="T555" s="130">
        <f t="shared" si="168"/>
        <v>317.86295878742328</v>
      </c>
      <c r="U555" s="130">
        <v>981.46287110108995</v>
      </c>
    </row>
    <row r="556" spans="1:21" s="64" customFormat="1" ht="36" customHeight="1" x14ac:dyDescent="0.9">
      <c r="A556" s="64">
        <v>1</v>
      </c>
      <c r="B556" s="96">
        <f>SUBTOTAL(103,$A$16:A556)</f>
        <v>476</v>
      </c>
      <c r="C556" s="94" t="s">
        <v>1361</v>
      </c>
      <c r="D556" s="138">
        <v>1986</v>
      </c>
      <c r="E556" s="138"/>
      <c r="F556" s="167" t="s">
        <v>326</v>
      </c>
      <c r="G556" s="138">
        <v>2</v>
      </c>
      <c r="H556" s="138">
        <v>2</v>
      </c>
      <c r="I556" s="130">
        <v>624.5</v>
      </c>
      <c r="J556" s="130">
        <v>624.5</v>
      </c>
      <c r="K556" s="130">
        <v>374.8</v>
      </c>
      <c r="L556" s="139">
        <v>32</v>
      </c>
      <c r="M556" s="138" t="s">
        <v>271</v>
      </c>
      <c r="N556" s="138" t="s">
        <v>272</v>
      </c>
      <c r="O556" s="136" t="s">
        <v>274</v>
      </c>
      <c r="P556" s="130">
        <v>311118.09000000003</v>
      </c>
      <c r="Q556" s="130">
        <v>0</v>
      </c>
      <c r="R556" s="130">
        <v>0</v>
      </c>
      <c r="S556" s="130">
        <f t="shared" si="187"/>
        <v>311118.09000000003</v>
      </c>
      <c r="T556" s="130">
        <f t="shared" si="168"/>
        <v>498.18749399519618</v>
      </c>
      <c r="U556" s="130">
        <v>1715.5844675740593</v>
      </c>
    </row>
    <row r="557" spans="1:21" s="64" customFormat="1" ht="36" customHeight="1" x14ac:dyDescent="0.9">
      <c r="B557" s="94" t="s">
        <v>908</v>
      </c>
      <c r="C557" s="94"/>
      <c r="D557" s="138" t="s">
        <v>934</v>
      </c>
      <c r="E557" s="138" t="s">
        <v>934</v>
      </c>
      <c r="F557" s="138" t="s">
        <v>934</v>
      </c>
      <c r="G557" s="138" t="s">
        <v>934</v>
      </c>
      <c r="H557" s="138" t="s">
        <v>934</v>
      </c>
      <c r="I557" s="129">
        <f>I558</f>
        <v>317.39999999999998</v>
      </c>
      <c r="J557" s="129">
        <f t="shared" ref="J557:L557" si="188">J558</f>
        <v>287.2</v>
      </c>
      <c r="K557" s="129">
        <f t="shared" si="188"/>
        <v>212.6</v>
      </c>
      <c r="L557" s="139">
        <f t="shared" si="188"/>
        <v>17</v>
      </c>
      <c r="M557" s="138" t="s">
        <v>934</v>
      </c>
      <c r="N557" s="138" t="s">
        <v>934</v>
      </c>
      <c r="O557" s="136" t="s">
        <v>934</v>
      </c>
      <c r="P557" s="130">
        <v>1568000</v>
      </c>
      <c r="Q557" s="130">
        <f t="shared" ref="Q557:S557" si="189">Q558</f>
        <v>0</v>
      </c>
      <c r="R557" s="130">
        <f t="shared" si="189"/>
        <v>0</v>
      </c>
      <c r="S557" s="130">
        <f t="shared" si="189"/>
        <v>1568000</v>
      </c>
      <c r="T557" s="130">
        <f t="shared" si="168"/>
        <v>4940.138626339005</v>
      </c>
      <c r="U557" s="130">
        <f>U558</f>
        <v>5333.1090107120363</v>
      </c>
    </row>
    <row r="558" spans="1:21" s="64" customFormat="1" ht="36" customHeight="1" x14ac:dyDescent="0.9">
      <c r="A558" s="64">
        <v>1</v>
      </c>
      <c r="B558" s="96">
        <f>SUBTOTAL(103,$A$16:A558)</f>
        <v>477</v>
      </c>
      <c r="C558" s="94" t="s">
        <v>227</v>
      </c>
      <c r="D558" s="138">
        <v>1966</v>
      </c>
      <c r="E558" s="138"/>
      <c r="F558" s="167" t="s">
        <v>273</v>
      </c>
      <c r="G558" s="138">
        <v>2</v>
      </c>
      <c r="H558" s="138">
        <v>1</v>
      </c>
      <c r="I558" s="130">
        <v>317.39999999999998</v>
      </c>
      <c r="J558" s="130">
        <v>287.2</v>
      </c>
      <c r="K558" s="130">
        <v>212.6</v>
      </c>
      <c r="L558" s="139">
        <v>17</v>
      </c>
      <c r="M558" s="138" t="s">
        <v>271</v>
      </c>
      <c r="N558" s="138" t="s">
        <v>272</v>
      </c>
      <c r="O558" s="136" t="s">
        <v>274</v>
      </c>
      <c r="P558" s="130">
        <v>1568000</v>
      </c>
      <c r="Q558" s="130">
        <v>0</v>
      </c>
      <c r="R558" s="130">
        <v>0</v>
      </c>
      <c r="S558" s="130">
        <f>P558-Q558-R558</f>
        <v>1568000</v>
      </c>
      <c r="T558" s="130">
        <f t="shared" si="168"/>
        <v>4940.138626339005</v>
      </c>
      <c r="U558" s="130">
        <v>5333.1090107120363</v>
      </c>
    </row>
    <row r="559" spans="1:21" s="64" customFormat="1" ht="36" customHeight="1" x14ac:dyDescent="0.9">
      <c r="B559" s="94" t="s">
        <v>797</v>
      </c>
      <c r="C559" s="94"/>
      <c r="D559" s="138" t="s">
        <v>934</v>
      </c>
      <c r="E559" s="138" t="s">
        <v>934</v>
      </c>
      <c r="F559" s="138" t="s">
        <v>934</v>
      </c>
      <c r="G559" s="138" t="s">
        <v>934</v>
      </c>
      <c r="H559" s="138" t="s">
        <v>934</v>
      </c>
      <c r="I559" s="129">
        <f>I560+I674+I689+I745+I766+I770+I784+I787+I792+I795+I797+I800+I802+I804+I811+I814+I816+I818+I820+I822+I824+I826+I828+I837+I839+I842+I844+I846+I851+I854+I856+I858+I860+I862+I864+I866+I868+I874+I872+I876+I882+I885+I887+I889+I891+I893+I895+I899+I902+I904+I906+I908+I912+I914+I917+I919</f>
        <v>802158.69000000018</v>
      </c>
      <c r="J559" s="129">
        <f>J560+J674+J689+J745+J766+J770+J784+J787+J792+J795+J797+J800+J802+J804+J811+J814+J816+J818+J820+J822+J824+J826+J828+J837+J839+J842+J844+J846+J851+J854+J856+J858+J860+J862+J864+J866+J868+J874+J872+J876+J882+J885+J887+J889+J891+J893+J895+J899+J902+J904+J906+J908+J912+J914+J917+J919</f>
        <v>649404.66000000015</v>
      </c>
      <c r="K559" s="129">
        <f>K560+K674+K689+K745+K766+K770+K784+K787+K792+K795+K797+K800+K802+K804+K811+K814+K816+K818+K820+K822+K824+K826+K828+K837+K839+K842+K844+K846+K851+K854+K856+K858+K860+K862+K864+K866+K868+K874+K872+K876+K882+K885+K887+K889+K891+K893+K895+K899+K902+K904+K906+K908+K912+K914+K917+K919</f>
        <v>578434.90000000037</v>
      </c>
      <c r="L559" s="139">
        <f>L560+L674+L689+L745+L766+L770+L784+L787+L792+L795+L797+L800+L802+L804+L811+L814+L816+L818+L820+L822+L824+L826+L828+L837+L839+L842+L844+L846+L851+L854+L856+L858+L860+L862+L864+L866+L868+L874+L872+L876+L882+L885+L887+L889+L891+L893+L895+L899+L902+L904+L906+L908+L912+L914+L917+L919</f>
        <v>30856</v>
      </c>
      <c r="M559" s="138" t="s">
        <v>934</v>
      </c>
      <c r="N559" s="138" t="s">
        <v>934</v>
      </c>
      <c r="O559" s="136" t="s">
        <v>934</v>
      </c>
      <c r="P559" s="129">
        <v>799638471.25999999</v>
      </c>
      <c r="Q559" s="129">
        <f>Q560+Q674+Q689+Q745+Q766+Q770+Q784+Q787+Q792+Q795+Q797+Q800+Q802+Q804+Q811+Q814+Q816+Q818+Q820+Q822+Q824+Q826+Q828+Q837+Q839+Q842+Q844+Q846+Q851+Q854+Q856+Q858+Q860+Q862+Q864+Q866+Q868+Q874+Q872+Q876+Q882+Q885+Q887+Q889+Q891+Q893+Q895+Q899+Q902+Q904+Q906+Q908+Q912+Q914+Q917+Q919</f>
        <v>0</v>
      </c>
      <c r="R559" s="129">
        <f>R560+R674+R689+R745+R766+R770+R784+R787+R792+R795+R797+R800+R802+R804+R811+R814+R816+R818+R820+R822+R824+R826+R828+R837+R839+R842+R844+R846+R851+R854+R856+R858+R860+R862+R864+R866+R868+R874+R872+R876+R882+R885+R887+R889+R891+R893+R895+R899+R902+R904+R906+R908+R912+R914+R917+R919</f>
        <v>2523423.19</v>
      </c>
      <c r="S559" s="129">
        <f>S560+S674+S689+S745+S766+S770+S784+S787+S792+S795+S797+S800+S802+S804+S811+S814+S816+S818+S820+S822+S824+S826+S828+S837+S839+S842+S844+S846+S851+S854+S856+S858+S860+S862+S864+S866+S868+S874+S872+S876+S882+S885+S887+S889+S891+S893+S895+S899+S902+S904+S906+S908+S912+S914+S917+S919</f>
        <v>797115048.07000005</v>
      </c>
      <c r="T559" s="130">
        <f t="shared" si="168"/>
        <v>996.8582042787566</v>
      </c>
      <c r="U559" s="130">
        <f>MAX(U560:U920)</f>
        <v>9248.1736879265718</v>
      </c>
    </row>
    <row r="560" spans="1:21" s="64" customFormat="1" ht="36" customHeight="1" x14ac:dyDescent="0.9">
      <c r="B560" s="94" t="s">
        <v>1159</v>
      </c>
      <c r="C560" s="126"/>
      <c r="D560" s="138" t="s">
        <v>934</v>
      </c>
      <c r="E560" s="138" t="s">
        <v>934</v>
      </c>
      <c r="F560" s="138" t="s">
        <v>934</v>
      </c>
      <c r="G560" s="138" t="s">
        <v>934</v>
      </c>
      <c r="H560" s="138" t="s">
        <v>934</v>
      </c>
      <c r="I560" s="129">
        <f>SUM(I561:I673)</f>
        <v>404972.00000000006</v>
      </c>
      <c r="J560" s="129">
        <f>SUM(J561:J673)</f>
        <v>337956.59999999986</v>
      </c>
      <c r="K560" s="129">
        <f>SUM(K561:K673)</f>
        <v>289316.25000000012</v>
      </c>
      <c r="L560" s="139">
        <f>SUM(L561:L673)</f>
        <v>16239</v>
      </c>
      <c r="M560" s="138" t="s">
        <v>934</v>
      </c>
      <c r="N560" s="138" t="s">
        <v>934</v>
      </c>
      <c r="O560" s="136" t="s">
        <v>934</v>
      </c>
      <c r="P560" s="129">
        <v>225509821.20999989</v>
      </c>
      <c r="Q560" s="129">
        <f>SUM(Q561:Q673)</f>
        <v>0</v>
      </c>
      <c r="R560" s="129">
        <f>SUM(R561:R673)</f>
        <v>0</v>
      </c>
      <c r="S560" s="129">
        <f>SUM(S561:S673)</f>
        <v>225509821.20999989</v>
      </c>
      <c r="T560" s="130">
        <f t="shared" si="168"/>
        <v>556.85287182817547</v>
      </c>
      <c r="U560" s="130">
        <f>MAX(U561:U673)</f>
        <v>6369.5723968358598</v>
      </c>
    </row>
    <row r="561" spans="1:21" s="64" customFormat="1" ht="36" customHeight="1" x14ac:dyDescent="0.9">
      <c r="A561" s="64">
        <v>1</v>
      </c>
      <c r="B561" s="96">
        <f>SUBTOTAL(103,$A561:A$561)</f>
        <v>1</v>
      </c>
      <c r="C561" s="94" t="s">
        <v>548</v>
      </c>
      <c r="D561" s="138" t="s">
        <v>360</v>
      </c>
      <c r="E561" s="138"/>
      <c r="F561" s="167" t="s">
        <v>273</v>
      </c>
      <c r="G561" s="138" t="s">
        <v>361</v>
      </c>
      <c r="H561" s="138">
        <v>4</v>
      </c>
      <c r="I561" s="129">
        <v>3486.3</v>
      </c>
      <c r="J561" s="129">
        <v>3020.1</v>
      </c>
      <c r="K561" s="129">
        <v>2123</v>
      </c>
      <c r="L561" s="139">
        <v>136</v>
      </c>
      <c r="M561" s="138" t="s">
        <v>271</v>
      </c>
      <c r="N561" s="138" t="s">
        <v>275</v>
      </c>
      <c r="O561" s="136" t="s">
        <v>1035</v>
      </c>
      <c r="P561" s="130">
        <v>4625631.57</v>
      </c>
      <c r="Q561" s="130">
        <v>0</v>
      </c>
      <c r="R561" s="130">
        <v>0</v>
      </c>
      <c r="S561" s="130">
        <f t="shared" ref="S561:S624" si="190">P561-Q561-R561</f>
        <v>4625631.57</v>
      </c>
      <c r="T561" s="130">
        <f t="shared" si="168"/>
        <v>1326.8025040874279</v>
      </c>
      <c r="U561" s="130">
        <v>1630.0181854688351</v>
      </c>
    </row>
    <row r="562" spans="1:21" s="64" customFormat="1" ht="36" customHeight="1" x14ac:dyDescent="0.9">
      <c r="A562" s="64">
        <v>1</v>
      </c>
      <c r="B562" s="96">
        <f>SUBTOTAL(103,$A$561:A562)</f>
        <v>2</v>
      </c>
      <c r="C562" s="94" t="s">
        <v>549</v>
      </c>
      <c r="D562" s="138" t="s">
        <v>362</v>
      </c>
      <c r="E562" s="138"/>
      <c r="F562" s="167" t="s">
        <v>319</v>
      </c>
      <c r="G562" s="138" t="s">
        <v>361</v>
      </c>
      <c r="H562" s="138">
        <v>4</v>
      </c>
      <c r="I562" s="129">
        <v>3788.4</v>
      </c>
      <c r="J562" s="129">
        <v>3519.1</v>
      </c>
      <c r="K562" s="129">
        <v>2414</v>
      </c>
      <c r="L562" s="139">
        <v>100</v>
      </c>
      <c r="M562" s="138" t="s">
        <v>271</v>
      </c>
      <c r="N562" s="138" t="s">
        <v>275</v>
      </c>
      <c r="O562" s="136" t="s">
        <v>1035</v>
      </c>
      <c r="P562" s="130">
        <v>4549323.9899999993</v>
      </c>
      <c r="Q562" s="130">
        <v>0</v>
      </c>
      <c r="R562" s="130">
        <v>0</v>
      </c>
      <c r="S562" s="130">
        <f t="shared" si="190"/>
        <v>4549323.9899999993</v>
      </c>
      <c r="T562" s="130">
        <f t="shared" si="168"/>
        <v>1200.8562955337343</v>
      </c>
      <c r="U562" s="130">
        <v>1531.9505859993662</v>
      </c>
    </row>
    <row r="563" spans="1:21" s="64" customFormat="1" ht="36" customHeight="1" x14ac:dyDescent="0.9">
      <c r="A563" s="64">
        <v>1</v>
      </c>
      <c r="B563" s="96">
        <f>SUBTOTAL(103,$A$561:A563)</f>
        <v>3</v>
      </c>
      <c r="C563" s="94" t="s">
        <v>550</v>
      </c>
      <c r="D563" s="138" t="s">
        <v>322</v>
      </c>
      <c r="E563" s="138"/>
      <c r="F563" s="167" t="s">
        <v>319</v>
      </c>
      <c r="G563" s="138" t="s">
        <v>361</v>
      </c>
      <c r="H563" s="138">
        <v>4</v>
      </c>
      <c r="I563" s="129">
        <v>3837.6</v>
      </c>
      <c r="J563" s="129">
        <v>3545.4</v>
      </c>
      <c r="K563" s="129">
        <v>2406.4</v>
      </c>
      <c r="L563" s="139">
        <v>162</v>
      </c>
      <c r="M563" s="138" t="s">
        <v>271</v>
      </c>
      <c r="N563" s="138" t="s">
        <v>275</v>
      </c>
      <c r="O563" s="136" t="s">
        <v>1035</v>
      </c>
      <c r="P563" s="130">
        <v>4549323.9899999993</v>
      </c>
      <c r="Q563" s="130">
        <v>0</v>
      </c>
      <c r="R563" s="130">
        <v>0</v>
      </c>
      <c r="S563" s="130">
        <f t="shared" si="190"/>
        <v>4549323.9899999993</v>
      </c>
      <c r="T563" s="130">
        <f t="shared" si="168"/>
        <v>1185.4607020012506</v>
      </c>
      <c r="U563" s="130">
        <v>1512.3101938711695</v>
      </c>
    </row>
    <row r="564" spans="1:21" s="64" customFormat="1" ht="36" customHeight="1" x14ac:dyDescent="0.9">
      <c r="A564" s="64">
        <v>1</v>
      </c>
      <c r="B564" s="96">
        <f>SUBTOTAL(103,$A$561:A564)</f>
        <v>4</v>
      </c>
      <c r="C564" s="94" t="s">
        <v>551</v>
      </c>
      <c r="D564" s="138" t="s">
        <v>318</v>
      </c>
      <c r="E564" s="138"/>
      <c r="F564" s="167" t="s">
        <v>319</v>
      </c>
      <c r="G564" s="138" t="s">
        <v>361</v>
      </c>
      <c r="H564" s="138">
        <v>3</v>
      </c>
      <c r="I564" s="129">
        <v>2494.5</v>
      </c>
      <c r="J564" s="129">
        <v>2290.6</v>
      </c>
      <c r="K564" s="129">
        <v>2237.6</v>
      </c>
      <c r="L564" s="139">
        <v>118</v>
      </c>
      <c r="M564" s="138" t="s">
        <v>271</v>
      </c>
      <c r="N564" s="138" t="s">
        <v>275</v>
      </c>
      <c r="O564" s="136" t="s">
        <v>1044</v>
      </c>
      <c r="P564" s="130">
        <v>3263607.5799999996</v>
      </c>
      <c r="Q564" s="130">
        <v>0</v>
      </c>
      <c r="R564" s="130">
        <v>0</v>
      </c>
      <c r="S564" s="130">
        <f t="shared" si="190"/>
        <v>3263607.5799999996</v>
      </c>
      <c r="T564" s="130">
        <f t="shared" si="168"/>
        <v>1308.3213389456803</v>
      </c>
      <c r="U564" s="130">
        <v>1592.4921892162758</v>
      </c>
    </row>
    <row r="565" spans="1:21" s="64" customFormat="1" ht="36" customHeight="1" x14ac:dyDescent="0.9">
      <c r="A565" s="64">
        <v>1</v>
      </c>
      <c r="B565" s="96">
        <f>SUBTOTAL(103,$A$561:A565)</f>
        <v>5</v>
      </c>
      <c r="C565" s="94" t="s">
        <v>552</v>
      </c>
      <c r="D565" s="138">
        <v>1993</v>
      </c>
      <c r="E565" s="138"/>
      <c r="F565" s="167" t="s">
        <v>319</v>
      </c>
      <c r="G565" s="138">
        <v>9</v>
      </c>
      <c r="H565" s="138">
        <v>1</v>
      </c>
      <c r="I565" s="129">
        <v>2320.3000000000002</v>
      </c>
      <c r="J565" s="129">
        <v>2320.3000000000002</v>
      </c>
      <c r="K565" s="129">
        <v>2280.8000000000002</v>
      </c>
      <c r="L565" s="139">
        <v>90</v>
      </c>
      <c r="M565" s="138" t="s">
        <v>271</v>
      </c>
      <c r="N565" s="138" t="s">
        <v>275</v>
      </c>
      <c r="O565" s="136" t="s">
        <v>357</v>
      </c>
      <c r="P565" s="130">
        <v>2149444.66</v>
      </c>
      <c r="Q565" s="130">
        <v>0</v>
      </c>
      <c r="R565" s="130">
        <v>0</v>
      </c>
      <c r="S565" s="130">
        <f t="shared" si="190"/>
        <v>2149444.66</v>
      </c>
      <c r="T565" s="130">
        <f t="shared" si="168"/>
        <v>926.36497866655168</v>
      </c>
      <c r="U565" s="130">
        <v>968.97082273843887</v>
      </c>
    </row>
    <row r="566" spans="1:21" s="64" customFormat="1" ht="36" customHeight="1" x14ac:dyDescent="0.9">
      <c r="A566" s="64">
        <v>1</v>
      </c>
      <c r="B566" s="96">
        <f>SUBTOTAL(103,$A$561:A566)</f>
        <v>6</v>
      </c>
      <c r="C566" s="94" t="s">
        <v>553</v>
      </c>
      <c r="D566" s="138">
        <v>1995</v>
      </c>
      <c r="E566" s="138"/>
      <c r="F566" s="167" t="s">
        <v>319</v>
      </c>
      <c r="G566" s="138">
        <v>9</v>
      </c>
      <c r="H566" s="138">
        <v>1</v>
      </c>
      <c r="I566" s="129">
        <v>2297.9</v>
      </c>
      <c r="J566" s="129">
        <v>2297.9</v>
      </c>
      <c r="K566" s="129">
        <v>2290.8000000000002</v>
      </c>
      <c r="L566" s="139">
        <v>95</v>
      </c>
      <c r="M566" s="138" t="s">
        <v>271</v>
      </c>
      <c r="N566" s="138" t="s">
        <v>275</v>
      </c>
      <c r="O566" s="136" t="s">
        <v>357</v>
      </c>
      <c r="P566" s="130">
        <v>2149444.66</v>
      </c>
      <c r="Q566" s="130">
        <v>0</v>
      </c>
      <c r="R566" s="130">
        <v>0</v>
      </c>
      <c r="S566" s="130">
        <f t="shared" si="190"/>
        <v>2149444.66</v>
      </c>
      <c r="T566" s="130">
        <f t="shared" si="168"/>
        <v>935.39521302058404</v>
      </c>
      <c r="U566" s="130">
        <v>978.41638017320156</v>
      </c>
    </row>
    <row r="567" spans="1:21" s="64" customFormat="1" ht="36" customHeight="1" x14ac:dyDescent="0.9">
      <c r="A567" s="64">
        <v>1</v>
      </c>
      <c r="B567" s="96">
        <f>SUBTOTAL(103,$A$561:A567)</f>
        <v>7</v>
      </c>
      <c r="C567" s="94" t="s">
        <v>554</v>
      </c>
      <c r="D567" s="138" t="s">
        <v>313</v>
      </c>
      <c r="E567" s="138"/>
      <c r="F567" s="167" t="s">
        <v>319</v>
      </c>
      <c r="G567" s="138" t="s">
        <v>361</v>
      </c>
      <c r="H567" s="138">
        <v>5</v>
      </c>
      <c r="I567" s="129">
        <v>3875.8</v>
      </c>
      <c r="J567" s="129">
        <v>3540</v>
      </c>
      <c r="K567" s="129">
        <v>2482.6999999999998</v>
      </c>
      <c r="L567" s="139">
        <v>168</v>
      </c>
      <c r="M567" s="138" t="s">
        <v>271</v>
      </c>
      <c r="N567" s="138" t="s">
        <v>275</v>
      </c>
      <c r="O567" s="136" t="s">
        <v>1035</v>
      </c>
      <c r="P567" s="130">
        <v>4642018.24</v>
      </c>
      <c r="Q567" s="130">
        <v>0</v>
      </c>
      <c r="R567" s="130">
        <v>0</v>
      </c>
      <c r="S567" s="130">
        <f t="shared" si="190"/>
        <v>4642018.24</v>
      </c>
      <c r="T567" s="130">
        <f t="shared" si="168"/>
        <v>1197.6929253315445</v>
      </c>
      <c r="U567" s="130">
        <v>1528.6007533928478</v>
      </c>
    </row>
    <row r="568" spans="1:21" s="64" customFormat="1" ht="36" customHeight="1" x14ac:dyDescent="0.9">
      <c r="A568" s="64">
        <v>1</v>
      </c>
      <c r="B568" s="96">
        <f>SUBTOTAL(103,$A$561:A568)</f>
        <v>8</v>
      </c>
      <c r="C568" s="94" t="s">
        <v>555</v>
      </c>
      <c r="D568" s="138" t="s">
        <v>363</v>
      </c>
      <c r="E568" s="138"/>
      <c r="F568" s="167" t="s">
        <v>273</v>
      </c>
      <c r="G568" s="138" t="s">
        <v>361</v>
      </c>
      <c r="H568" s="138">
        <v>2</v>
      </c>
      <c r="I568" s="129">
        <v>2473.3000000000002</v>
      </c>
      <c r="J568" s="129">
        <v>1702</v>
      </c>
      <c r="K568" s="129">
        <v>1117.3</v>
      </c>
      <c r="L568" s="139">
        <v>84</v>
      </c>
      <c r="M568" s="138" t="s">
        <v>271</v>
      </c>
      <c r="N568" s="138" t="s">
        <v>275</v>
      </c>
      <c r="O568" s="136" t="s">
        <v>1037</v>
      </c>
      <c r="P568" s="130">
        <v>3518296.02</v>
      </c>
      <c r="Q568" s="130">
        <v>0</v>
      </c>
      <c r="R568" s="130">
        <v>0</v>
      </c>
      <c r="S568" s="130">
        <f t="shared" si="190"/>
        <v>3518296.02</v>
      </c>
      <c r="T568" s="130">
        <f t="shared" si="168"/>
        <v>1422.5108235960051</v>
      </c>
      <c r="U568" s="130">
        <v>1735.4451946791733</v>
      </c>
    </row>
    <row r="569" spans="1:21" s="64" customFormat="1" ht="36" customHeight="1" x14ac:dyDescent="0.9">
      <c r="A569" s="64">
        <v>1</v>
      </c>
      <c r="B569" s="96">
        <f>SUBTOTAL(103,$A$561:A569)</f>
        <v>9</v>
      </c>
      <c r="C569" s="94" t="s">
        <v>1453</v>
      </c>
      <c r="D569" s="138">
        <v>1986</v>
      </c>
      <c r="E569" s="138"/>
      <c r="F569" s="167" t="s">
        <v>319</v>
      </c>
      <c r="G569" s="138">
        <v>9</v>
      </c>
      <c r="H569" s="138">
        <v>6</v>
      </c>
      <c r="I569" s="129">
        <v>12835.6</v>
      </c>
      <c r="J569" s="129">
        <v>11520.6</v>
      </c>
      <c r="K569" s="129">
        <v>11110.5</v>
      </c>
      <c r="L569" s="139">
        <v>540</v>
      </c>
      <c r="M569" s="138" t="s">
        <v>271</v>
      </c>
      <c r="N569" s="138" t="s">
        <v>275</v>
      </c>
      <c r="O569" s="136" t="s">
        <v>1158</v>
      </c>
      <c r="P569" s="130">
        <v>13689818</v>
      </c>
      <c r="Q569" s="130">
        <v>0</v>
      </c>
      <c r="R569" s="130">
        <v>0</v>
      </c>
      <c r="S569" s="130">
        <f t="shared" si="190"/>
        <v>13689818</v>
      </c>
      <c r="T569" s="130">
        <f t="shared" si="168"/>
        <v>1066.5506871513603</v>
      </c>
      <c r="U569" s="130">
        <v>1066.5506871513603</v>
      </c>
    </row>
    <row r="570" spans="1:21" s="64" customFormat="1" ht="36" customHeight="1" x14ac:dyDescent="0.9">
      <c r="A570" s="64">
        <v>1</v>
      </c>
      <c r="B570" s="96">
        <f>SUBTOTAL(103,$A$561:A570)</f>
        <v>10</v>
      </c>
      <c r="C570" s="94" t="s">
        <v>556</v>
      </c>
      <c r="D570" s="138" t="s">
        <v>364</v>
      </c>
      <c r="E570" s="138"/>
      <c r="F570" s="167" t="s">
        <v>273</v>
      </c>
      <c r="G570" s="138" t="s">
        <v>320</v>
      </c>
      <c r="H570" s="138">
        <v>2</v>
      </c>
      <c r="I570" s="129">
        <v>944.2</v>
      </c>
      <c r="J570" s="129">
        <v>863.6</v>
      </c>
      <c r="K570" s="129">
        <v>732.5</v>
      </c>
      <c r="L570" s="139">
        <v>48</v>
      </c>
      <c r="M570" s="138" t="s">
        <v>271</v>
      </c>
      <c r="N570" s="138" t="s">
        <v>275</v>
      </c>
      <c r="O570" s="136" t="s">
        <v>358</v>
      </c>
      <c r="P570" s="130">
        <v>2570383.31</v>
      </c>
      <c r="Q570" s="130">
        <v>0</v>
      </c>
      <c r="R570" s="130">
        <v>0</v>
      </c>
      <c r="S570" s="130">
        <f t="shared" si="190"/>
        <v>2570383.31</v>
      </c>
      <c r="T570" s="130">
        <f t="shared" si="168"/>
        <v>2722.2869201440371</v>
      </c>
      <c r="U570" s="130">
        <v>3329.4208854056346</v>
      </c>
    </row>
    <row r="571" spans="1:21" s="64" customFormat="1" ht="36" customHeight="1" x14ac:dyDescent="0.9">
      <c r="A571" s="64">
        <v>1</v>
      </c>
      <c r="B571" s="96">
        <f>SUBTOTAL(103,$A$561:A571)</f>
        <v>11</v>
      </c>
      <c r="C571" s="94" t="s">
        <v>557</v>
      </c>
      <c r="D571" s="138" t="s">
        <v>365</v>
      </c>
      <c r="E571" s="138"/>
      <c r="F571" s="167" t="s">
        <v>273</v>
      </c>
      <c r="G571" s="138" t="s">
        <v>361</v>
      </c>
      <c r="H571" s="138">
        <v>1</v>
      </c>
      <c r="I571" s="129">
        <v>4677.8999999999996</v>
      </c>
      <c r="J571" s="129">
        <v>2936.3</v>
      </c>
      <c r="K571" s="129">
        <v>2632.1</v>
      </c>
      <c r="L571" s="139">
        <v>196</v>
      </c>
      <c r="M571" s="138" t="s">
        <v>271</v>
      </c>
      <c r="N571" s="138" t="s">
        <v>275</v>
      </c>
      <c r="O571" s="136" t="s">
        <v>1039</v>
      </c>
      <c r="P571" s="130">
        <v>4554037.87</v>
      </c>
      <c r="Q571" s="130">
        <v>0</v>
      </c>
      <c r="R571" s="130">
        <v>0</v>
      </c>
      <c r="S571" s="130">
        <f t="shared" si="190"/>
        <v>4554037.87</v>
      </c>
      <c r="T571" s="130">
        <f t="shared" si="168"/>
        <v>973.52185168558549</v>
      </c>
      <c r="U571" s="130">
        <v>1195.5869962590052</v>
      </c>
    </row>
    <row r="572" spans="1:21" s="64" customFormat="1" ht="36" customHeight="1" x14ac:dyDescent="0.9">
      <c r="A572" s="64">
        <v>1</v>
      </c>
      <c r="B572" s="96">
        <f>SUBTOTAL(103,$A$561:A572)</f>
        <v>12</v>
      </c>
      <c r="C572" s="94" t="s">
        <v>558</v>
      </c>
      <c r="D572" s="138">
        <v>1985</v>
      </c>
      <c r="E572" s="138"/>
      <c r="F572" s="167" t="s">
        <v>273</v>
      </c>
      <c r="G572" s="138" t="s">
        <v>361</v>
      </c>
      <c r="H572" s="138">
        <v>6</v>
      </c>
      <c r="I572" s="129">
        <v>5781</v>
      </c>
      <c r="J572" s="129">
        <v>4320.2</v>
      </c>
      <c r="K572" s="129">
        <v>2890.2</v>
      </c>
      <c r="L572" s="139">
        <v>208</v>
      </c>
      <c r="M572" s="138" t="s">
        <v>271</v>
      </c>
      <c r="N572" s="138" t="s">
        <v>275</v>
      </c>
      <c r="O572" s="136" t="s">
        <v>1035</v>
      </c>
      <c r="P572" s="130">
        <v>3759019.5700000003</v>
      </c>
      <c r="Q572" s="130">
        <v>0</v>
      </c>
      <c r="R572" s="130">
        <v>0</v>
      </c>
      <c r="S572" s="130">
        <f t="shared" si="190"/>
        <v>3759019.5700000003</v>
      </c>
      <c r="T572" s="130">
        <f t="shared" si="168"/>
        <v>650.23690883930124</v>
      </c>
      <c r="U572" s="130">
        <v>794.76727209825287</v>
      </c>
    </row>
    <row r="573" spans="1:21" s="64" customFormat="1" ht="36" customHeight="1" x14ac:dyDescent="0.9">
      <c r="A573" s="64">
        <v>1</v>
      </c>
      <c r="B573" s="96">
        <f>SUBTOTAL(103,$A$561:A573)</f>
        <v>13</v>
      </c>
      <c r="C573" s="94" t="s">
        <v>559</v>
      </c>
      <c r="D573" s="138" t="s">
        <v>315</v>
      </c>
      <c r="E573" s="138"/>
      <c r="F573" s="167" t="s">
        <v>273</v>
      </c>
      <c r="G573" s="138" t="s">
        <v>320</v>
      </c>
      <c r="H573" s="138">
        <v>1</v>
      </c>
      <c r="I573" s="129">
        <v>1243.7</v>
      </c>
      <c r="J573" s="129">
        <v>761.1</v>
      </c>
      <c r="K573" s="129">
        <v>562.1</v>
      </c>
      <c r="L573" s="139">
        <v>53</v>
      </c>
      <c r="M573" s="138" t="s">
        <v>271</v>
      </c>
      <c r="N573" s="138" t="s">
        <v>275</v>
      </c>
      <c r="O573" s="136" t="s">
        <v>1039</v>
      </c>
      <c r="P573" s="130">
        <v>2589386.2599999998</v>
      </c>
      <c r="Q573" s="130">
        <v>0</v>
      </c>
      <c r="R573" s="130">
        <v>0</v>
      </c>
      <c r="S573" s="130">
        <f t="shared" si="190"/>
        <v>2589386.2599999998</v>
      </c>
      <c r="T573" s="130">
        <f t="shared" si="168"/>
        <v>2082.002299589933</v>
      </c>
      <c r="U573" s="130">
        <v>2547.0941867009728</v>
      </c>
    </row>
    <row r="574" spans="1:21" s="64" customFormat="1" ht="36" customHeight="1" x14ac:dyDescent="0.9">
      <c r="A574" s="64">
        <v>1</v>
      </c>
      <c r="B574" s="96">
        <f>SUBTOTAL(103,$A$561:A574)</f>
        <v>14</v>
      </c>
      <c r="C574" s="94" t="s">
        <v>560</v>
      </c>
      <c r="D574" s="138" t="s">
        <v>366</v>
      </c>
      <c r="E574" s="138"/>
      <c r="F574" s="167" t="s">
        <v>273</v>
      </c>
      <c r="G574" s="138" t="s">
        <v>367</v>
      </c>
      <c r="H574" s="138">
        <v>1</v>
      </c>
      <c r="I574" s="129">
        <v>7585.7</v>
      </c>
      <c r="J574" s="129">
        <v>5648.6</v>
      </c>
      <c r="K574" s="129">
        <v>3448.8</v>
      </c>
      <c r="L574" s="139">
        <v>338</v>
      </c>
      <c r="M574" s="138" t="s">
        <v>271</v>
      </c>
      <c r="N574" s="138" t="s">
        <v>275</v>
      </c>
      <c r="O574" s="136" t="s">
        <v>1039</v>
      </c>
      <c r="P574" s="130">
        <v>5092635.92</v>
      </c>
      <c r="Q574" s="130">
        <v>0</v>
      </c>
      <c r="R574" s="130">
        <v>0</v>
      </c>
      <c r="S574" s="130">
        <f t="shared" si="190"/>
        <v>5092635.92</v>
      </c>
      <c r="T574" s="130">
        <f t="shared" si="168"/>
        <v>671.34686581330664</v>
      </c>
      <c r="U574" s="130">
        <v>826.4421239964671</v>
      </c>
    </row>
    <row r="575" spans="1:21" s="64" customFormat="1" ht="36" customHeight="1" x14ac:dyDescent="0.9">
      <c r="A575" s="64">
        <v>1</v>
      </c>
      <c r="B575" s="96">
        <f>SUBTOTAL(103,$A$561:A575)</f>
        <v>15</v>
      </c>
      <c r="C575" s="94" t="s">
        <v>561</v>
      </c>
      <c r="D575" s="138" t="s">
        <v>321</v>
      </c>
      <c r="E575" s="138"/>
      <c r="F575" s="167" t="s">
        <v>319</v>
      </c>
      <c r="G575" s="138" t="s">
        <v>367</v>
      </c>
      <c r="H575" s="138">
        <v>2</v>
      </c>
      <c r="I575" s="129">
        <v>4990.2</v>
      </c>
      <c r="J575" s="129">
        <v>3973.4</v>
      </c>
      <c r="K575" s="129">
        <v>3799.4</v>
      </c>
      <c r="L575" s="139">
        <v>180</v>
      </c>
      <c r="M575" s="138" t="s">
        <v>271</v>
      </c>
      <c r="N575" s="138" t="s">
        <v>275</v>
      </c>
      <c r="O575" s="136" t="s">
        <v>1036</v>
      </c>
      <c r="P575" s="130">
        <v>3229425.65</v>
      </c>
      <c r="Q575" s="130">
        <v>0</v>
      </c>
      <c r="R575" s="130">
        <v>0</v>
      </c>
      <c r="S575" s="130">
        <f t="shared" si="190"/>
        <v>3229425.65</v>
      </c>
      <c r="T575" s="130">
        <f t="shared" si="168"/>
        <v>647.15355095988139</v>
      </c>
      <c r="U575" s="130">
        <v>787.45320828824504</v>
      </c>
    </row>
    <row r="576" spans="1:21" s="64" customFormat="1" ht="36" customHeight="1" x14ac:dyDescent="0.9">
      <c r="A576" s="64">
        <v>1</v>
      </c>
      <c r="B576" s="96">
        <f>SUBTOTAL(103,$A$561:A576)</f>
        <v>16</v>
      </c>
      <c r="C576" s="94" t="s">
        <v>562</v>
      </c>
      <c r="D576" s="138" t="s">
        <v>313</v>
      </c>
      <c r="E576" s="138"/>
      <c r="F576" s="167" t="s">
        <v>273</v>
      </c>
      <c r="G576" s="138" t="s">
        <v>361</v>
      </c>
      <c r="H576" s="138">
        <v>4</v>
      </c>
      <c r="I576" s="129">
        <v>4104.5</v>
      </c>
      <c r="J576" s="129">
        <v>3757.7</v>
      </c>
      <c r="K576" s="129">
        <v>3241.9</v>
      </c>
      <c r="L576" s="139">
        <v>238</v>
      </c>
      <c r="M576" s="138" t="s">
        <v>271</v>
      </c>
      <c r="N576" s="138" t="s">
        <v>275</v>
      </c>
      <c r="O576" s="136" t="s">
        <v>1045</v>
      </c>
      <c r="P576" s="130">
        <v>5398710.1299999999</v>
      </c>
      <c r="Q576" s="130">
        <v>0</v>
      </c>
      <c r="R576" s="130">
        <v>0</v>
      </c>
      <c r="S576" s="130">
        <f t="shared" si="190"/>
        <v>5398710.1299999999</v>
      </c>
      <c r="T576" s="130">
        <f t="shared" si="168"/>
        <v>1315.3149299549275</v>
      </c>
      <c r="U576" s="130">
        <v>1573.0420952612985</v>
      </c>
    </row>
    <row r="577" spans="1:21" s="64" customFormat="1" ht="36" customHeight="1" x14ac:dyDescent="0.9">
      <c r="A577" s="64">
        <v>1</v>
      </c>
      <c r="B577" s="96">
        <f>SUBTOTAL(103,$A$561:A577)</f>
        <v>17</v>
      </c>
      <c r="C577" s="94" t="s">
        <v>563</v>
      </c>
      <c r="D577" s="138">
        <v>1970</v>
      </c>
      <c r="E577" s="138"/>
      <c r="F577" s="167" t="s">
        <v>273</v>
      </c>
      <c r="G577" s="138">
        <v>5</v>
      </c>
      <c r="H577" s="138">
        <v>4</v>
      </c>
      <c r="I577" s="129">
        <v>3511.62</v>
      </c>
      <c r="J577" s="129">
        <v>3361</v>
      </c>
      <c r="K577" s="129">
        <v>3735.6</v>
      </c>
      <c r="L577" s="139">
        <v>150</v>
      </c>
      <c r="M577" s="138" t="s">
        <v>271</v>
      </c>
      <c r="N577" s="138" t="s">
        <v>275</v>
      </c>
      <c r="O577" s="136" t="s">
        <v>357</v>
      </c>
      <c r="P577" s="130">
        <v>5145091.9399999995</v>
      </c>
      <c r="Q577" s="130">
        <v>0</v>
      </c>
      <c r="R577" s="130">
        <v>0</v>
      </c>
      <c r="S577" s="130">
        <f t="shared" si="190"/>
        <v>5145091.9399999995</v>
      </c>
      <c r="T577" s="130">
        <f t="shared" si="168"/>
        <v>1465.1619309606392</v>
      </c>
      <c r="U577" s="130">
        <v>1828.295350863704</v>
      </c>
    </row>
    <row r="578" spans="1:21" s="64" customFormat="1" ht="36" customHeight="1" x14ac:dyDescent="0.9">
      <c r="A578" s="64">
        <v>1</v>
      </c>
      <c r="B578" s="96">
        <f>SUBTOTAL(103,$A$561:A578)</f>
        <v>18</v>
      </c>
      <c r="C578" s="94" t="s">
        <v>564</v>
      </c>
      <c r="D578" s="138" t="s">
        <v>323</v>
      </c>
      <c r="E578" s="138"/>
      <c r="F578" s="167" t="s">
        <v>273</v>
      </c>
      <c r="G578" s="138">
        <v>5</v>
      </c>
      <c r="H578" s="138">
        <v>4</v>
      </c>
      <c r="I578" s="129">
        <v>4873.3</v>
      </c>
      <c r="J578" s="129">
        <v>2941.2</v>
      </c>
      <c r="K578" s="129">
        <v>2775.3</v>
      </c>
      <c r="L578" s="139">
        <v>144</v>
      </c>
      <c r="M578" s="138" t="s">
        <v>271</v>
      </c>
      <c r="N578" s="138" t="s">
        <v>275</v>
      </c>
      <c r="O578" s="136" t="s">
        <v>1036</v>
      </c>
      <c r="P578" s="130">
        <v>4517275.3499999996</v>
      </c>
      <c r="Q578" s="130">
        <v>0</v>
      </c>
      <c r="R578" s="130">
        <v>0</v>
      </c>
      <c r="S578" s="130">
        <f t="shared" si="190"/>
        <v>4517275.3499999996</v>
      </c>
      <c r="T578" s="130">
        <f t="shared" si="168"/>
        <v>926.94382656516109</v>
      </c>
      <c r="U578" s="130">
        <v>1215.7164139289598</v>
      </c>
    </row>
    <row r="579" spans="1:21" s="64" customFormat="1" ht="36" customHeight="1" x14ac:dyDescent="0.9">
      <c r="A579" s="64">
        <v>1</v>
      </c>
      <c r="B579" s="96">
        <f>SUBTOTAL(103,$A$561:A579)</f>
        <v>19</v>
      </c>
      <c r="C579" s="94" t="s">
        <v>840</v>
      </c>
      <c r="D579" s="138">
        <v>1961</v>
      </c>
      <c r="E579" s="138"/>
      <c r="F579" s="167" t="s">
        <v>273</v>
      </c>
      <c r="G579" s="138">
        <v>4</v>
      </c>
      <c r="H579" s="138">
        <v>4</v>
      </c>
      <c r="I579" s="129">
        <v>1116.9000000000001</v>
      </c>
      <c r="J579" s="129">
        <v>893.7</v>
      </c>
      <c r="K579" s="129">
        <v>707.8</v>
      </c>
      <c r="L579" s="139">
        <v>42</v>
      </c>
      <c r="M579" s="138" t="s">
        <v>271</v>
      </c>
      <c r="N579" s="138" t="s">
        <v>275</v>
      </c>
      <c r="O579" s="136" t="s">
        <v>1050</v>
      </c>
      <c r="P579" s="130">
        <v>2739901.57</v>
      </c>
      <c r="Q579" s="130">
        <v>0</v>
      </c>
      <c r="R579" s="130">
        <v>0</v>
      </c>
      <c r="S579" s="130">
        <f t="shared" si="190"/>
        <v>2739901.57</v>
      </c>
      <c r="T579" s="130">
        <f t="shared" si="168"/>
        <v>2453.1306025606586</v>
      </c>
      <c r="U579" s="130">
        <v>3437.0732384277908</v>
      </c>
    </row>
    <row r="580" spans="1:21" s="64" customFormat="1" ht="36" customHeight="1" x14ac:dyDescent="0.9">
      <c r="A580" s="64">
        <v>1</v>
      </c>
      <c r="B580" s="96">
        <f>SUBTOTAL(103,$A$561:A580)</f>
        <v>20</v>
      </c>
      <c r="C580" s="94" t="s">
        <v>565</v>
      </c>
      <c r="D580" s="138" t="s">
        <v>315</v>
      </c>
      <c r="E580" s="138"/>
      <c r="F580" s="167" t="s">
        <v>319</v>
      </c>
      <c r="G580" s="138" t="s">
        <v>361</v>
      </c>
      <c r="H580" s="138">
        <v>4</v>
      </c>
      <c r="I580" s="129">
        <v>3904.9</v>
      </c>
      <c r="J580" s="129">
        <v>3572.3</v>
      </c>
      <c r="K580" s="129">
        <v>2529.9</v>
      </c>
      <c r="L580" s="139">
        <v>170</v>
      </c>
      <c r="M580" s="138" t="s">
        <v>271</v>
      </c>
      <c r="N580" s="138" t="s">
        <v>275</v>
      </c>
      <c r="O580" s="136" t="s">
        <v>1035</v>
      </c>
      <c r="P580" s="130">
        <v>4549323.9899999993</v>
      </c>
      <c r="Q580" s="130">
        <v>0</v>
      </c>
      <c r="R580" s="130">
        <v>0</v>
      </c>
      <c r="S580" s="130">
        <f t="shared" si="190"/>
        <v>4549323.9899999993</v>
      </c>
      <c r="T580" s="130">
        <f t="shared" si="168"/>
        <v>1165.0295756613484</v>
      </c>
      <c r="U580" s="130">
        <v>1486.2458961817204</v>
      </c>
    </row>
    <row r="581" spans="1:21" s="64" customFormat="1" ht="36" customHeight="1" x14ac:dyDescent="0.9">
      <c r="A581" s="64">
        <v>1</v>
      </c>
      <c r="B581" s="96">
        <f>SUBTOTAL(103,$A$561:A581)</f>
        <v>21</v>
      </c>
      <c r="C581" s="94" t="s">
        <v>566</v>
      </c>
      <c r="D581" s="138" t="s">
        <v>315</v>
      </c>
      <c r="E581" s="138"/>
      <c r="F581" s="167" t="s">
        <v>319</v>
      </c>
      <c r="G581" s="138" t="s">
        <v>361</v>
      </c>
      <c r="H581" s="138">
        <v>3</v>
      </c>
      <c r="I581" s="129">
        <v>3361</v>
      </c>
      <c r="J581" s="129">
        <v>2572.6</v>
      </c>
      <c r="K581" s="129">
        <v>1749.7</v>
      </c>
      <c r="L581" s="139">
        <v>133</v>
      </c>
      <c r="M581" s="138" t="s">
        <v>271</v>
      </c>
      <c r="N581" s="138" t="s">
        <v>275</v>
      </c>
      <c r="O581" s="136" t="s">
        <v>1035</v>
      </c>
      <c r="P581" s="130">
        <v>3661902.1799999997</v>
      </c>
      <c r="Q581" s="130">
        <v>0</v>
      </c>
      <c r="R581" s="130">
        <v>0</v>
      </c>
      <c r="S581" s="130">
        <f t="shared" si="190"/>
        <v>3661902.1799999997</v>
      </c>
      <c r="T581" s="130">
        <f t="shared" si="168"/>
        <v>1089.5275751264503</v>
      </c>
      <c r="U581" s="130">
        <v>1393.9992561737579</v>
      </c>
    </row>
    <row r="582" spans="1:21" s="64" customFormat="1" ht="36" customHeight="1" x14ac:dyDescent="0.9">
      <c r="A582" s="64">
        <v>1</v>
      </c>
      <c r="B582" s="96">
        <f>SUBTOTAL(103,$A$561:A582)</f>
        <v>22</v>
      </c>
      <c r="C582" s="94" t="s">
        <v>1478</v>
      </c>
      <c r="D582" s="138">
        <v>1965</v>
      </c>
      <c r="E582" s="138"/>
      <c r="F582" s="167" t="s">
        <v>273</v>
      </c>
      <c r="G582" s="138">
        <v>5</v>
      </c>
      <c r="H582" s="138">
        <v>4</v>
      </c>
      <c r="I582" s="129">
        <v>3647.4</v>
      </c>
      <c r="J582" s="129">
        <v>2512.3000000000002</v>
      </c>
      <c r="K582" s="129">
        <v>2436</v>
      </c>
      <c r="L582" s="139">
        <v>160</v>
      </c>
      <c r="M582" s="138" t="s">
        <v>271</v>
      </c>
      <c r="N582" s="138" t="s">
        <v>275</v>
      </c>
      <c r="O582" s="136" t="s">
        <v>1139</v>
      </c>
      <c r="P582" s="130">
        <v>5911583.5</v>
      </c>
      <c r="Q582" s="130">
        <v>0</v>
      </c>
      <c r="R582" s="130">
        <v>0</v>
      </c>
      <c r="S582" s="130">
        <f t="shared" si="190"/>
        <v>5911583.5</v>
      </c>
      <c r="T582" s="130">
        <f t="shared" si="168"/>
        <v>1620.7664363656302</v>
      </c>
      <c r="U582" s="130">
        <v>2000.7333349783407</v>
      </c>
    </row>
    <row r="583" spans="1:21" s="64" customFormat="1" ht="36" customHeight="1" x14ac:dyDescent="0.9">
      <c r="A583" s="64">
        <v>1</v>
      </c>
      <c r="B583" s="96">
        <f>SUBTOTAL(103,$A$561:A583)</f>
        <v>23</v>
      </c>
      <c r="C583" s="94" t="s">
        <v>567</v>
      </c>
      <c r="D583" s="138">
        <v>1993</v>
      </c>
      <c r="E583" s="138"/>
      <c r="F583" s="167" t="s">
        <v>273</v>
      </c>
      <c r="G583" s="138">
        <v>9</v>
      </c>
      <c r="H583" s="138">
        <v>9</v>
      </c>
      <c r="I583" s="129">
        <v>14938</v>
      </c>
      <c r="J583" s="129">
        <v>12406</v>
      </c>
      <c r="K583" s="129">
        <v>5273.2</v>
      </c>
      <c r="L583" s="139">
        <v>330</v>
      </c>
      <c r="M583" s="138" t="s">
        <v>271</v>
      </c>
      <c r="N583" s="138" t="s">
        <v>275</v>
      </c>
      <c r="O583" s="136" t="s">
        <v>1037</v>
      </c>
      <c r="P583" s="130">
        <v>2179444.67</v>
      </c>
      <c r="Q583" s="130">
        <v>0</v>
      </c>
      <c r="R583" s="130">
        <v>0</v>
      </c>
      <c r="S583" s="130">
        <f t="shared" si="190"/>
        <v>2179444.67</v>
      </c>
      <c r="T583" s="130">
        <f t="shared" si="168"/>
        <v>145.89936202972285</v>
      </c>
      <c r="U583" s="130">
        <v>150.50897041103227</v>
      </c>
    </row>
    <row r="584" spans="1:21" s="64" customFormat="1" ht="36" customHeight="1" x14ac:dyDescent="0.9">
      <c r="A584" s="64">
        <v>1</v>
      </c>
      <c r="B584" s="96">
        <f>SUBTOTAL(103,$A$561:A584)</f>
        <v>24</v>
      </c>
      <c r="C584" s="94" t="s">
        <v>841</v>
      </c>
      <c r="D584" s="138">
        <v>1962</v>
      </c>
      <c r="E584" s="138"/>
      <c r="F584" s="167" t="s">
        <v>273</v>
      </c>
      <c r="G584" s="138">
        <v>4</v>
      </c>
      <c r="H584" s="138">
        <v>2</v>
      </c>
      <c r="I584" s="129">
        <v>1260.7</v>
      </c>
      <c r="J584" s="129">
        <v>979.2</v>
      </c>
      <c r="K584" s="129">
        <v>905.52</v>
      </c>
      <c r="L584" s="139">
        <v>83</v>
      </c>
      <c r="M584" s="138" t="s">
        <v>271</v>
      </c>
      <c r="N584" s="138" t="s">
        <v>305</v>
      </c>
      <c r="O584" s="136" t="s">
        <v>854</v>
      </c>
      <c r="P584" s="130">
        <v>3110127.71</v>
      </c>
      <c r="Q584" s="130">
        <v>0</v>
      </c>
      <c r="R584" s="130">
        <v>0</v>
      </c>
      <c r="S584" s="130">
        <f t="shared" si="190"/>
        <v>3110127.71</v>
      </c>
      <c r="T584" s="130">
        <f t="shared" si="168"/>
        <v>2466.9847782977708</v>
      </c>
      <c r="U584" s="130">
        <v>3356.7240421987785</v>
      </c>
    </row>
    <row r="585" spans="1:21" s="64" customFormat="1" ht="36" customHeight="1" x14ac:dyDescent="0.9">
      <c r="A585" s="64">
        <v>1</v>
      </c>
      <c r="B585" s="96">
        <f>SUBTOTAL(103,$A$561:A585)</f>
        <v>25</v>
      </c>
      <c r="C585" s="94" t="s">
        <v>568</v>
      </c>
      <c r="D585" s="138" t="s">
        <v>318</v>
      </c>
      <c r="E585" s="138"/>
      <c r="F585" s="167" t="s">
        <v>273</v>
      </c>
      <c r="G585" s="138" t="s">
        <v>361</v>
      </c>
      <c r="H585" s="138">
        <v>1</v>
      </c>
      <c r="I585" s="129">
        <v>667.4</v>
      </c>
      <c r="J585" s="129">
        <v>486.4</v>
      </c>
      <c r="K585" s="129">
        <v>486.4</v>
      </c>
      <c r="L585" s="139">
        <v>29</v>
      </c>
      <c r="M585" s="138" t="s">
        <v>271</v>
      </c>
      <c r="N585" s="138" t="s">
        <v>275</v>
      </c>
      <c r="O585" s="136" t="s">
        <v>1039</v>
      </c>
      <c r="P585" s="130">
        <v>1126135.8999999999</v>
      </c>
      <c r="Q585" s="130">
        <v>0</v>
      </c>
      <c r="R585" s="130">
        <v>0</v>
      </c>
      <c r="S585" s="130">
        <f t="shared" si="190"/>
        <v>1126135.8999999999</v>
      </c>
      <c r="T585" s="130">
        <f t="shared" si="168"/>
        <v>1687.3477674557985</v>
      </c>
      <c r="U585" s="130">
        <v>1902.2274498052145</v>
      </c>
    </row>
    <row r="586" spans="1:21" s="64" customFormat="1" ht="36" customHeight="1" x14ac:dyDescent="0.9">
      <c r="A586" s="64">
        <v>1</v>
      </c>
      <c r="B586" s="96">
        <f>SUBTOTAL(103,$A$561:A586)</f>
        <v>26</v>
      </c>
      <c r="C586" s="94" t="s">
        <v>569</v>
      </c>
      <c r="D586" s="138" t="s">
        <v>368</v>
      </c>
      <c r="E586" s="138"/>
      <c r="F586" s="167" t="s">
        <v>273</v>
      </c>
      <c r="G586" s="138" t="s">
        <v>316</v>
      </c>
      <c r="H586" s="138">
        <v>1</v>
      </c>
      <c r="I586" s="129">
        <v>1061.9000000000001</v>
      </c>
      <c r="J586" s="129">
        <v>977.4</v>
      </c>
      <c r="K586" s="129">
        <v>977.4</v>
      </c>
      <c r="L586" s="139">
        <v>25</v>
      </c>
      <c r="M586" s="138" t="s">
        <v>271</v>
      </c>
      <c r="N586" s="138" t="s">
        <v>275</v>
      </c>
      <c r="O586" s="136" t="s">
        <v>1039</v>
      </c>
      <c r="P586" s="130">
        <v>4057359.23</v>
      </c>
      <c r="Q586" s="130">
        <v>0</v>
      </c>
      <c r="R586" s="130">
        <v>0</v>
      </c>
      <c r="S586" s="130">
        <f t="shared" si="190"/>
        <v>4057359.23</v>
      </c>
      <c r="T586" s="130">
        <f t="shared" ref="T586:T649" si="191">P586/I586</f>
        <v>3820.848695734061</v>
      </c>
      <c r="U586" s="130">
        <v>6369.5723968358598</v>
      </c>
    </row>
    <row r="587" spans="1:21" s="64" customFormat="1" ht="36" customHeight="1" x14ac:dyDescent="0.9">
      <c r="A587" s="64">
        <v>1</v>
      </c>
      <c r="B587" s="96">
        <f>SUBTOTAL(103,$A$561:A587)</f>
        <v>27</v>
      </c>
      <c r="C587" s="94" t="s">
        <v>570</v>
      </c>
      <c r="D587" s="138" t="s">
        <v>369</v>
      </c>
      <c r="E587" s="138"/>
      <c r="F587" s="167" t="s">
        <v>273</v>
      </c>
      <c r="G587" s="138" t="s">
        <v>361</v>
      </c>
      <c r="H587" s="138">
        <v>2</v>
      </c>
      <c r="I587" s="129">
        <v>1953.8</v>
      </c>
      <c r="J587" s="129">
        <v>1724.7</v>
      </c>
      <c r="K587" s="129">
        <v>1572.5</v>
      </c>
      <c r="L587" s="139">
        <v>51</v>
      </c>
      <c r="M587" s="138" t="s">
        <v>271</v>
      </c>
      <c r="N587" s="138" t="s">
        <v>275</v>
      </c>
      <c r="O587" s="136" t="s">
        <v>1046</v>
      </c>
      <c r="P587" s="130">
        <v>2760412.39</v>
      </c>
      <c r="Q587" s="130">
        <v>0</v>
      </c>
      <c r="R587" s="130">
        <v>0</v>
      </c>
      <c r="S587" s="130">
        <f t="shared" si="190"/>
        <v>2760412.39</v>
      </c>
      <c r="T587" s="130">
        <f t="shared" si="191"/>
        <v>1412.8428651857919</v>
      </c>
      <c r="U587" s="130">
        <v>1732.7554509161635</v>
      </c>
    </row>
    <row r="588" spans="1:21" s="64" customFormat="1" ht="36" customHeight="1" x14ac:dyDescent="0.9">
      <c r="A588" s="64">
        <v>1</v>
      </c>
      <c r="B588" s="96">
        <f>SUBTOTAL(103,$A$561:A588)</f>
        <v>28</v>
      </c>
      <c r="C588" s="94" t="s">
        <v>843</v>
      </c>
      <c r="D588" s="138">
        <v>1987</v>
      </c>
      <c r="E588" s="138"/>
      <c r="F588" s="167" t="s">
        <v>319</v>
      </c>
      <c r="G588" s="138">
        <v>9</v>
      </c>
      <c r="H588" s="138">
        <v>5</v>
      </c>
      <c r="I588" s="129">
        <v>10923.8</v>
      </c>
      <c r="J588" s="129">
        <v>9687.5</v>
      </c>
      <c r="K588" s="129">
        <v>9248.6</v>
      </c>
      <c r="L588" s="139">
        <v>489</v>
      </c>
      <c r="M588" s="138" t="s">
        <v>271</v>
      </c>
      <c r="N588" s="138" t="s">
        <v>275</v>
      </c>
      <c r="O588" s="136" t="s">
        <v>1048</v>
      </c>
      <c r="P588" s="130">
        <v>5592560.8499999996</v>
      </c>
      <c r="Q588" s="130">
        <v>0</v>
      </c>
      <c r="R588" s="130">
        <v>0</v>
      </c>
      <c r="S588" s="130">
        <f t="shared" si="190"/>
        <v>5592560.8499999996</v>
      </c>
      <c r="T588" s="130">
        <f t="shared" si="191"/>
        <v>511.96111701056407</v>
      </c>
      <c r="U588" s="130">
        <v>769.80857027774221</v>
      </c>
    </row>
    <row r="589" spans="1:21" s="64" customFormat="1" ht="36" customHeight="1" x14ac:dyDescent="0.9">
      <c r="A589" s="64">
        <v>1</v>
      </c>
      <c r="B589" s="96">
        <f>SUBTOTAL(103,$A$561:A589)</f>
        <v>29</v>
      </c>
      <c r="C589" s="94" t="s">
        <v>571</v>
      </c>
      <c r="D589" s="138" t="s">
        <v>314</v>
      </c>
      <c r="E589" s="138"/>
      <c r="F589" s="167" t="s">
        <v>273</v>
      </c>
      <c r="G589" s="138" t="s">
        <v>361</v>
      </c>
      <c r="H589" s="138">
        <v>4</v>
      </c>
      <c r="I589" s="129">
        <v>3951</v>
      </c>
      <c r="J589" s="129">
        <v>3662.3</v>
      </c>
      <c r="K589" s="129">
        <v>2413.8000000000002</v>
      </c>
      <c r="L589" s="139">
        <v>103</v>
      </c>
      <c r="M589" s="138" t="s">
        <v>271</v>
      </c>
      <c r="N589" s="138" t="s">
        <v>275</v>
      </c>
      <c r="O589" s="136" t="s">
        <v>1044</v>
      </c>
      <c r="P589" s="130">
        <v>4005106.45</v>
      </c>
      <c r="Q589" s="130">
        <v>0</v>
      </c>
      <c r="R589" s="130">
        <v>0</v>
      </c>
      <c r="S589" s="130">
        <f t="shared" si="190"/>
        <v>4005106.45</v>
      </c>
      <c r="T589" s="130">
        <f t="shared" si="191"/>
        <v>1013.6943685143002</v>
      </c>
      <c r="U589" s="130">
        <v>1257.7494608959757</v>
      </c>
    </row>
    <row r="590" spans="1:21" s="64" customFormat="1" ht="36" customHeight="1" x14ac:dyDescent="0.9">
      <c r="A590" s="64">
        <v>1</v>
      </c>
      <c r="B590" s="96">
        <f>SUBTOTAL(103,$A$561:A590)</f>
        <v>30</v>
      </c>
      <c r="C590" s="94" t="s">
        <v>572</v>
      </c>
      <c r="D590" s="138" t="s">
        <v>371</v>
      </c>
      <c r="E590" s="138"/>
      <c r="F590" s="167" t="s">
        <v>273</v>
      </c>
      <c r="G590" s="138" t="s">
        <v>361</v>
      </c>
      <c r="H590" s="138">
        <v>3</v>
      </c>
      <c r="I590" s="129">
        <v>2747.2</v>
      </c>
      <c r="J590" s="129">
        <v>2475.6</v>
      </c>
      <c r="K590" s="129">
        <v>2231</v>
      </c>
      <c r="L590" s="139">
        <v>93</v>
      </c>
      <c r="M590" s="138" t="s">
        <v>271</v>
      </c>
      <c r="N590" s="138" t="s">
        <v>275</v>
      </c>
      <c r="O590" s="136" t="s">
        <v>1044</v>
      </c>
      <c r="P590" s="130">
        <v>4412836.3</v>
      </c>
      <c r="Q590" s="130">
        <v>0</v>
      </c>
      <c r="R590" s="130">
        <v>0</v>
      </c>
      <c r="S590" s="130">
        <f t="shared" si="190"/>
        <v>4412836.3</v>
      </c>
      <c r="T590" s="130">
        <f t="shared" si="191"/>
        <v>1606.3032542224812</v>
      </c>
      <c r="U590" s="130">
        <v>1974.5891300232963</v>
      </c>
    </row>
    <row r="591" spans="1:21" s="64" customFormat="1" ht="36" customHeight="1" x14ac:dyDescent="0.9">
      <c r="A591" s="64">
        <v>1</v>
      </c>
      <c r="B591" s="96">
        <f>SUBTOTAL(103,$A$561:A591)</f>
        <v>31</v>
      </c>
      <c r="C591" s="94" t="s">
        <v>573</v>
      </c>
      <c r="D591" s="138" t="s">
        <v>314</v>
      </c>
      <c r="E591" s="138"/>
      <c r="F591" s="167" t="s">
        <v>273</v>
      </c>
      <c r="G591" s="138" t="s">
        <v>361</v>
      </c>
      <c r="H591" s="138">
        <v>2</v>
      </c>
      <c r="I591" s="129">
        <v>2023.4</v>
      </c>
      <c r="J591" s="129">
        <v>1578.8</v>
      </c>
      <c r="K591" s="129">
        <v>1536.2</v>
      </c>
      <c r="L591" s="139">
        <v>65</v>
      </c>
      <c r="M591" s="138" t="s">
        <v>271</v>
      </c>
      <c r="N591" s="138" t="s">
        <v>275</v>
      </c>
      <c r="O591" s="136" t="s">
        <v>1039</v>
      </c>
      <c r="P591" s="130">
        <v>4448638.5999999996</v>
      </c>
      <c r="Q591" s="130">
        <v>0</v>
      </c>
      <c r="R591" s="130">
        <v>0</v>
      </c>
      <c r="S591" s="130">
        <f t="shared" si="190"/>
        <v>4448638.5999999996</v>
      </c>
      <c r="T591" s="130">
        <f t="shared" si="191"/>
        <v>2198.5957299594738</v>
      </c>
      <c r="U591" s="130">
        <v>3720.3356985766532</v>
      </c>
    </row>
    <row r="592" spans="1:21" s="64" customFormat="1" ht="36" customHeight="1" x14ac:dyDescent="0.9">
      <c r="A592" s="64">
        <v>1</v>
      </c>
      <c r="B592" s="96">
        <f>SUBTOTAL(103,$A$561:A592)</f>
        <v>32</v>
      </c>
      <c r="C592" s="94" t="s">
        <v>574</v>
      </c>
      <c r="D592" s="138" t="s">
        <v>372</v>
      </c>
      <c r="E592" s="138"/>
      <c r="F592" s="167" t="s">
        <v>273</v>
      </c>
      <c r="G592" s="138" t="s">
        <v>311</v>
      </c>
      <c r="H592" s="138">
        <v>3</v>
      </c>
      <c r="I592" s="129">
        <v>574.1</v>
      </c>
      <c r="J592" s="129">
        <v>290.3</v>
      </c>
      <c r="K592" s="129">
        <v>290.3</v>
      </c>
      <c r="L592" s="139">
        <v>10</v>
      </c>
      <c r="M592" s="138" t="s">
        <v>271</v>
      </c>
      <c r="N592" s="138" t="s">
        <v>275</v>
      </c>
      <c r="O592" s="136" t="s">
        <v>1047</v>
      </c>
      <c r="P592" s="130">
        <v>2397304.5699999998</v>
      </c>
      <c r="Q592" s="130">
        <v>0</v>
      </c>
      <c r="R592" s="130">
        <v>0</v>
      </c>
      <c r="S592" s="130">
        <f t="shared" si="190"/>
        <v>2397304.5699999998</v>
      </c>
      <c r="T592" s="130">
        <f t="shared" si="191"/>
        <v>4175.7613133600416</v>
      </c>
      <c r="U592" s="130">
        <v>5107.2079777042327</v>
      </c>
    </row>
    <row r="593" spans="1:21" s="64" customFormat="1" ht="36" customHeight="1" x14ac:dyDescent="0.9">
      <c r="A593" s="64">
        <v>1</v>
      </c>
      <c r="B593" s="96">
        <f>SUBTOTAL(103,$A$561:A593)</f>
        <v>33</v>
      </c>
      <c r="C593" s="94" t="s">
        <v>575</v>
      </c>
      <c r="D593" s="138" t="s">
        <v>373</v>
      </c>
      <c r="E593" s="138"/>
      <c r="F593" s="167" t="s">
        <v>338</v>
      </c>
      <c r="G593" s="138" t="s">
        <v>311</v>
      </c>
      <c r="H593" s="138">
        <v>2</v>
      </c>
      <c r="I593" s="129">
        <v>583.5</v>
      </c>
      <c r="J593" s="129">
        <v>558.1</v>
      </c>
      <c r="K593" s="129">
        <v>416.1</v>
      </c>
      <c r="L593" s="139">
        <v>35</v>
      </c>
      <c r="M593" s="138" t="s">
        <v>271</v>
      </c>
      <c r="N593" s="138" t="s">
        <v>275</v>
      </c>
      <c r="O593" s="136" t="s">
        <v>1151</v>
      </c>
      <c r="P593" s="130">
        <v>2564514.5199999996</v>
      </c>
      <c r="Q593" s="130">
        <v>0</v>
      </c>
      <c r="R593" s="130">
        <v>0</v>
      </c>
      <c r="S593" s="130">
        <f t="shared" si="190"/>
        <v>2564514.5199999996</v>
      </c>
      <c r="T593" s="130">
        <f t="shared" si="191"/>
        <v>4395.0548757497854</v>
      </c>
      <c r="U593" s="130">
        <v>6278.5754241645245</v>
      </c>
    </row>
    <row r="594" spans="1:21" s="64" customFormat="1" ht="36" customHeight="1" x14ac:dyDescent="0.9">
      <c r="A594" s="64">
        <v>1</v>
      </c>
      <c r="B594" s="96">
        <f>SUBTOTAL(103,$A$561:A594)</f>
        <v>34</v>
      </c>
      <c r="C594" s="94" t="s">
        <v>1157</v>
      </c>
      <c r="D594" s="138">
        <v>1989</v>
      </c>
      <c r="E594" s="138"/>
      <c r="F594" s="167" t="s">
        <v>319</v>
      </c>
      <c r="G594" s="138">
        <v>9</v>
      </c>
      <c r="H594" s="138">
        <v>4</v>
      </c>
      <c r="I594" s="129">
        <v>8889.1</v>
      </c>
      <c r="J594" s="129">
        <v>7439.2</v>
      </c>
      <c r="K594" s="129">
        <v>7373</v>
      </c>
      <c r="L594" s="139">
        <v>357</v>
      </c>
      <c r="M594" s="138" t="s">
        <v>271</v>
      </c>
      <c r="N594" s="138" t="s">
        <v>275</v>
      </c>
      <c r="O594" s="136" t="s">
        <v>1158</v>
      </c>
      <c r="P594" s="130">
        <v>7813143.0999999996</v>
      </c>
      <c r="Q594" s="130">
        <v>0</v>
      </c>
      <c r="R594" s="130">
        <v>0</v>
      </c>
      <c r="S594" s="130">
        <f t="shared" si="190"/>
        <v>7813143.0999999996</v>
      </c>
      <c r="T594" s="130">
        <f t="shared" si="191"/>
        <v>878.95772350406673</v>
      </c>
      <c r="U594" s="130">
        <v>1011.7123218323565</v>
      </c>
    </row>
    <row r="595" spans="1:21" s="64" customFormat="1" ht="36" customHeight="1" x14ac:dyDescent="0.9">
      <c r="A595" s="64">
        <v>1</v>
      </c>
      <c r="B595" s="96">
        <f>SUBTOTAL(103,$A$561:A595)</f>
        <v>35</v>
      </c>
      <c r="C595" s="94" t="s">
        <v>576</v>
      </c>
      <c r="D595" s="138">
        <v>1973</v>
      </c>
      <c r="E595" s="138"/>
      <c r="F595" s="167" t="s">
        <v>319</v>
      </c>
      <c r="G595" s="138">
        <v>9</v>
      </c>
      <c r="H595" s="138">
        <v>1</v>
      </c>
      <c r="I595" s="129">
        <v>1914.68</v>
      </c>
      <c r="J595" s="129">
        <v>1914.68</v>
      </c>
      <c r="K595" s="129">
        <v>1914.68</v>
      </c>
      <c r="L595" s="139">
        <v>130</v>
      </c>
      <c r="M595" s="138" t="s">
        <v>271</v>
      </c>
      <c r="N595" s="138" t="s">
        <v>275</v>
      </c>
      <c r="O595" s="136" t="s">
        <v>357</v>
      </c>
      <c r="P595" s="130">
        <v>2129444.67</v>
      </c>
      <c r="Q595" s="130">
        <v>0</v>
      </c>
      <c r="R595" s="130">
        <v>0</v>
      </c>
      <c r="S595" s="130">
        <f t="shared" si="190"/>
        <v>2129444.67</v>
      </c>
      <c r="T595" s="130">
        <f t="shared" si="191"/>
        <v>1112.1673961184113</v>
      </c>
      <c r="U595" s="130">
        <v>1174.2447824179496</v>
      </c>
    </row>
    <row r="596" spans="1:21" s="64" customFormat="1" ht="36" customHeight="1" x14ac:dyDescent="0.9">
      <c r="A596" s="64">
        <v>1</v>
      </c>
      <c r="B596" s="96">
        <f>SUBTOTAL(103,$A$561:A596)</f>
        <v>36</v>
      </c>
      <c r="C596" s="94" t="s">
        <v>577</v>
      </c>
      <c r="D596" s="138" t="s">
        <v>318</v>
      </c>
      <c r="E596" s="138"/>
      <c r="F596" s="167" t="s">
        <v>273</v>
      </c>
      <c r="G596" s="138" t="s">
        <v>320</v>
      </c>
      <c r="H596" s="138">
        <v>4</v>
      </c>
      <c r="I596" s="129">
        <v>2853</v>
      </c>
      <c r="J596" s="129">
        <v>1941.5</v>
      </c>
      <c r="K596" s="129">
        <v>1882.5</v>
      </c>
      <c r="L596" s="139">
        <v>96</v>
      </c>
      <c r="M596" s="138" t="s">
        <v>271</v>
      </c>
      <c r="N596" s="138" t="s">
        <v>275</v>
      </c>
      <c r="O596" s="136" t="s">
        <v>1039</v>
      </c>
      <c r="P596" s="130">
        <v>5610855.6899999995</v>
      </c>
      <c r="Q596" s="130">
        <v>0</v>
      </c>
      <c r="R596" s="130">
        <v>0</v>
      </c>
      <c r="S596" s="130">
        <f t="shared" si="190"/>
        <v>5610855.6899999995</v>
      </c>
      <c r="T596" s="130">
        <f t="shared" si="191"/>
        <v>1966.6511356466874</v>
      </c>
      <c r="U596" s="130">
        <v>2458.0208902909217</v>
      </c>
    </row>
    <row r="597" spans="1:21" s="64" customFormat="1" ht="36" customHeight="1" x14ac:dyDescent="0.9">
      <c r="A597" s="64">
        <v>1</v>
      </c>
      <c r="B597" s="96">
        <f>SUBTOTAL(103,$A$561:A597)</f>
        <v>37</v>
      </c>
      <c r="C597" s="94" t="s">
        <v>578</v>
      </c>
      <c r="D597" s="138">
        <v>1985</v>
      </c>
      <c r="E597" s="138"/>
      <c r="F597" s="167" t="s">
        <v>319</v>
      </c>
      <c r="G597" s="138">
        <v>2</v>
      </c>
      <c r="H597" s="138">
        <v>2</v>
      </c>
      <c r="I597" s="129">
        <v>626.1</v>
      </c>
      <c r="J597" s="129">
        <v>586.4</v>
      </c>
      <c r="K597" s="129">
        <v>348.2</v>
      </c>
      <c r="L597" s="139">
        <v>43</v>
      </c>
      <c r="M597" s="138" t="s">
        <v>271</v>
      </c>
      <c r="N597" s="138" t="s">
        <v>275</v>
      </c>
      <c r="O597" s="136" t="s">
        <v>1039</v>
      </c>
      <c r="P597" s="130">
        <v>2171781.17</v>
      </c>
      <c r="Q597" s="130">
        <v>0</v>
      </c>
      <c r="R597" s="130">
        <v>0</v>
      </c>
      <c r="S597" s="130">
        <f t="shared" si="190"/>
        <v>2171781.17</v>
      </c>
      <c r="T597" s="130">
        <f t="shared" si="191"/>
        <v>3468.7448810094234</v>
      </c>
      <c r="U597" s="130">
        <v>4177.0739434595116</v>
      </c>
    </row>
    <row r="598" spans="1:21" s="64" customFormat="1" ht="36" customHeight="1" x14ac:dyDescent="0.9">
      <c r="A598" s="64">
        <v>1</v>
      </c>
      <c r="B598" s="96">
        <f>SUBTOTAL(103,$A$561:A598)</f>
        <v>38</v>
      </c>
      <c r="C598" s="94" t="s">
        <v>579</v>
      </c>
      <c r="D598" s="138" t="s">
        <v>310</v>
      </c>
      <c r="E598" s="138"/>
      <c r="F598" s="167" t="s">
        <v>273</v>
      </c>
      <c r="G598" s="138" t="s">
        <v>311</v>
      </c>
      <c r="H598" s="138">
        <v>1</v>
      </c>
      <c r="I598" s="129">
        <v>399.4</v>
      </c>
      <c r="J598" s="129">
        <v>354.1</v>
      </c>
      <c r="K598" s="129">
        <v>172.1</v>
      </c>
      <c r="L598" s="139">
        <v>23</v>
      </c>
      <c r="M598" s="138" t="s">
        <v>271</v>
      </c>
      <c r="N598" s="138" t="s">
        <v>275</v>
      </c>
      <c r="O598" s="136" t="s">
        <v>1049</v>
      </c>
      <c r="P598" s="130">
        <v>763048.75</v>
      </c>
      <c r="Q598" s="130">
        <v>0</v>
      </c>
      <c r="R598" s="130">
        <v>0</v>
      </c>
      <c r="S598" s="130">
        <f t="shared" si="190"/>
        <v>763048.75</v>
      </c>
      <c r="T598" s="130">
        <f t="shared" si="191"/>
        <v>1910.4876064096145</v>
      </c>
      <c r="U598" s="130">
        <v>2812.3346720080126</v>
      </c>
    </row>
    <row r="599" spans="1:21" s="64" customFormat="1" ht="36" customHeight="1" x14ac:dyDescent="0.9">
      <c r="A599" s="64">
        <v>1</v>
      </c>
      <c r="B599" s="96">
        <f>SUBTOTAL(103,$A$561:A599)</f>
        <v>39</v>
      </c>
      <c r="C599" s="94" t="s">
        <v>580</v>
      </c>
      <c r="D599" s="138">
        <v>1977</v>
      </c>
      <c r="E599" s="138"/>
      <c r="F599" s="167" t="s">
        <v>273</v>
      </c>
      <c r="G599" s="138">
        <v>2</v>
      </c>
      <c r="H599" s="138">
        <v>2</v>
      </c>
      <c r="I599" s="129">
        <v>814.4</v>
      </c>
      <c r="J599" s="129">
        <v>741</v>
      </c>
      <c r="K599" s="129">
        <v>629.70000000000005</v>
      </c>
      <c r="L599" s="139">
        <v>44</v>
      </c>
      <c r="M599" s="138" t="s">
        <v>271</v>
      </c>
      <c r="N599" s="138" t="s">
        <v>275</v>
      </c>
      <c r="O599" s="136" t="s">
        <v>1043</v>
      </c>
      <c r="P599" s="130">
        <v>2794940.58</v>
      </c>
      <c r="Q599" s="130">
        <v>0</v>
      </c>
      <c r="R599" s="130">
        <v>0</v>
      </c>
      <c r="S599" s="130">
        <f t="shared" si="190"/>
        <v>2794940.58</v>
      </c>
      <c r="T599" s="130">
        <f t="shared" si="191"/>
        <v>3431.9014980353636</v>
      </c>
      <c r="U599" s="130">
        <v>4765.6990667976424</v>
      </c>
    </row>
    <row r="600" spans="1:21" s="64" customFormat="1" ht="36" customHeight="1" x14ac:dyDescent="0.9">
      <c r="A600" s="64">
        <v>1</v>
      </c>
      <c r="B600" s="96">
        <f>SUBTOTAL(103,$A$561:A600)</f>
        <v>40</v>
      </c>
      <c r="C600" s="94" t="s">
        <v>842</v>
      </c>
      <c r="D600" s="138">
        <v>1963</v>
      </c>
      <c r="E600" s="138"/>
      <c r="F600" s="167" t="s">
        <v>273</v>
      </c>
      <c r="G600" s="138">
        <v>2</v>
      </c>
      <c r="H600" s="138">
        <v>1</v>
      </c>
      <c r="I600" s="129">
        <v>316.5</v>
      </c>
      <c r="J600" s="129">
        <v>207.1</v>
      </c>
      <c r="K600" s="129">
        <v>131.4</v>
      </c>
      <c r="L600" s="139">
        <v>24</v>
      </c>
      <c r="M600" s="138" t="s">
        <v>271</v>
      </c>
      <c r="N600" s="138" t="s">
        <v>275</v>
      </c>
      <c r="O600" s="136" t="s">
        <v>1051</v>
      </c>
      <c r="P600" s="130">
        <v>1584967.92</v>
      </c>
      <c r="Q600" s="130">
        <v>0</v>
      </c>
      <c r="R600" s="130">
        <v>0</v>
      </c>
      <c r="S600" s="130">
        <f t="shared" si="190"/>
        <v>1584967.92</v>
      </c>
      <c r="T600" s="130">
        <f t="shared" si="191"/>
        <v>5007.7975355450235</v>
      </c>
      <c r="U600" s="130">
        <v>5730.2938388625589</v>
      </c>
    </row>
    <row r="601" spans="1:21" s="64" customFormat="1" ht="36" customHeight="1" x14ac:dyDescent="0.9">
      <c r="A601" s="64">
        <v>1</v>
      </c>
      <c r="B601" s="96">
        <f>SUBTOTAL(103,$A$561:A601)</f>
        <v>41</v>
      </c>
      <c r="C601" s="94" t="s">
        <v>581</v>
      </c>
      <c r="D601" s="138" t="s">
        <v>375</v>
      </c>
      <c r="E601" s="138"/>
      <c r="F601" s="167" t="s">
        <v>273</v>
      </c>
      <c r="G601" s="138" t="s">
        <v>376</v>
      </c>
      <c r="H601" s="138">
        <v>7</v>
      </c>
      <c r="I601" s="129">
        <v>12921.1</v>
      </c>
      <c r="J601" s="129">
        <v>11041.4</v>
      </c>
      <c r="K601" s="129">
        <v>11041.4</v>
      </c>
      <c r="L601" s="139">
        <v>373</v>
      </c>
      <c r="M601" s="138" t="s">
        <v>271</v>
      </c>
      <c r="N601" s="138" t="s">
        <v>275</v>
      </c>
      <c r="O601" s="136" t="s">
        <v>1046</v>
      </c>
      <c r="P601" s="130">
        <v>11173348.710000001</v>
      </c>
      <c r="Q601" s="130">
        <v>0</v>
      </c>
      <c r="R601" s="130">
        <v>0</v>
      </c>
      <c r="S601" s="130">
        <f t="shared" si="190"/>
        <v>11173348.710000001</v>
      </c>
      <c r="T601" s="130">
        <f t="shared" si="191"/>
        <v>864.73664858255108</v>
      </c>
      <c r="U601" s="130">
        <v>1076.1125600761545</v>
      </c>
    </row>
    <row r="602" spans="1:21" s="64" customFormat="1" ht="36" customHeight="1" x14ac:dyDescent="0.9">
      <c r="A602" s="64">
        <v>1</v>
      </c>
      <c r="B602" s="96">
        <f>SUBTOTAL(103,$A$561:A602)</f>
        <v>42</v>
      </c>
      <c r="C602" s="94" t="s">
        <v>582</v>
      </c>
      <c r="D602" s="138" t="s">
        <v>377</v>
      </c>
      <c r="E602" s="138"/>
      <c r="F602" s="167" t="s">
        <v>273</v>
      </c>
      <c r="G602" s="138" t="s">
        <v>367</v>
      </c>
      <c r="H602" s="138">
        <v>3</v>
      </c>
      <c r="I602" s="129">
        <v>6810.7</v>
      </c>
      <c r="J602" s="129">
        <v>6392</v>
      </c>
      <c r="K602" s="129">
        <v>6392</v>
      </c>
      <c r="L602" s="139">
        <v>287</v>
      </c>
      <c r="M602" s="138" t="s">
        <v>271</v>
      </c>
      <c r="N602" s="138" t="s">
        <v>275</v>
      </c>
      <c r="O602" s="136" t="s">
        <v>1046</v>
      </c>
      <c r="P602" s="130">
        <v>5877399.3300000001</v>
      </c>
      <c r="Q602" s="130">
        <v>0</v>
      </c>
      <c r="R602" s="130">
        <v>0</v>
      </c>
      <c r="S602" s="130">
        <f t="shared" si="190"/>
        <v>5877399.3300000001</v>
      </c>
      <c r="T602" s="130">
        <f t="shared" si="191"/>
        <v>862.96552924075354</v>
      </c>
      <c r="U602" s="130">
        <v>1065.1698063341507</v>
      </c>
    </row>
    <row r="603" spans="1:21" s="64" customFormat="1" ht="36" customHeight="1" x14ac:dyDescent="0.9">
      <c r="A603" s="64">
        <v>1</v>
      </c>
      <c r="B603" s="96">
        <f>SUBTOTAL(103,$A$561:A603)</f>
        <v>43</v>
      </c>
      <c r="C603" s="94" t="s">
        <v>583</v>
      </c>
      <c r="D603" s="138">
        <v>1960</v>
      </c>
      <c r="E603" s="138"/>
      <c r="F603" s="167" t="s">
        <v>273</v>
      </c>
      <c r="G603" s="138">
        <v>2</v>
      </c>
      <c r="H603" s="138">
        <v>2</v>
      </c>
      <c r="I603" s="129">
        <v>614.9</v>
      </c>
      <c r="J603" s="129">
        <v>438</v>
      </c>
      <c r="K603" s="129">
        <v>438</v>
      </c>
      <c r="L603" s="139">
        <v>32</v>
      </c>
      <c r="M603" s="138" t="s">
        <v>271</v>
      </c>
      <c r="N603" s="138" t="s">
        <v>272</v>
      </c>
      <c r="O603" s="136" t="s">
        <v>274</v>
      </c>
      <c r="P603" s="130">
        <v>2102735.67</v>
      </c>
      <c r="Q603" s="130">
        <v>0</v>
      </c>
      <c r="R603" s="130">
        <v>0</v>
      </c>
      <c r="S603" s="130">
        <f t="shared" si="190"/>
        <v>2102735.67</v>
      </c>
      <c r="T603" s="130">
        <f t="shared" si="191"/>
        <v>3419.6384290128476</v>
      </c>
      <c r="U603" s="130">
        <v>5646.1985200845675</v>
      </c>
    </row>
    <row r="604" spans="1:21" s="64" customFormat="1" ht="36" customHeight="1" x14ac:dyDescent="0.9">
      <c r="A604" s="64">
        <v>1</v>
      </c>
      <c r="B604" s="96">
        <f>SUBTOTAL(103,$A$561:A604)</f>
        <v>44</v>
      </c>
      <c r="C604" s="94" t="s">
        <v>584</v>
      </c>
      <c r="D604" s="138" t="s">
        <v>378</v>
      </c>
      <c r="E604" s="138"/>
      <c r="F604" s="167" t="s">
        <v>374</v>
      </c>
      <c r="G604" s="138" t="s">
        <v>311</v>
      </c>
      <c r="H604" s="138">
        <v>2</v>
      </c>
      <c r="I604" s="129">
        <v>485.3</v>
      </c>
      <c r="J604" s="129">
        <v>445.3</v>
      </c>
      <c r="K604" s="129">
        <v>387.3</v>
      </c>
      <c r="L604" s="139">
        <v>32</v>
      </c>
      <c r="M604" s="138" t="s">
        <v>271</v>
      </c>
      <c r="N604" s="138" t="s">
        <v>275</v>
      </c>
      <c r="O604" s="136" t="s">
        <v>1049</v>
      </c>
      <c r="P604" s="130">
        <v>2323274.2000000002</v>
      </c>
      <c r="Q604" s="130">
        <v>0</v>
      </c>
      <c r="R604" s="130">
        <v>0</v>
      </c>
      <c r="S604" s="130">
        <f t="shared" si="190"/>
        <v>2323274.2000000002</v>
      </c>
      <c r="T604" s="130">
        <f t="shared" si="191"/>
        <v>4787.2948691531019</v>
      </c>
      <c r="U604" s="130">
        <v>6305.8146548526684</v>
      </c>
    </row>
    <row r="605" spans="1:21" s="64" customFormat="1" ht="36" customHeight="1" x14ac:dyDescent="0.9">
      <c r="A605" s="64">
        <v>1</v>
      </c>
      <c r="B605" s="96">
        <f>SUBTOTAL(103,$A$561:A605)</f>
        <v>45</v>
      </c>
      <c r="C605" s="94" t="s">
        <v>585</v>
      </c>
      <c r="D605" s="138" t="s">
        <v>379</v>
      </c>
      <c r="E605" s="138"/>
      <c r="F605" s="167" t="s">
        <v>319</v>
      </c>
      <c r="G605" s="138" t="s">
        <v>361</v>
      </c>
      <c r="H605" s="138">
        <v>4</v>
      </c>
      <c r="I605" s="129">
        <v>3872.2</v>
      </c>
      <c r="J605" s="129">
        <v>3548.5</v>
      </c>
      <c r="K605" s="129">
        <v>2382.6</v>
      </c>
      <c r="L605" s="139">
        <v>172</v>
      </c>
      <c r="M605" s="138" t="s">
        <v>271</v>
      </c>
      <c r="N605" s="138" t="s">
        <v>275</v>
      </c>
      <c r="O605" s="136" t="s">
        <v>1035</v>
      </c>
      <c r="P605" s="130">
        <v>4748603.68</v>
      </c>
      <c r="Q605" s="130">
        <v>0</v>
      </c>
      <c r="R605" s="130">
        <v>0</v>
      </c>
      <c r="S605" s="130">
        <f t="shared" si="190"/>
        <v>4748603.68</v>
      </c>
      <c r="T605" s="130">
        <f t="shared" si="191"/>
        <v>1226.3322349052219</v>
      </c>
      <c r="U605" s="130">
        <v>1498.7969629667889</v>
      </c>
    </row>
    <row r="606" spans="1:21" s="64" customFormat="1" ht="36" customHeight="1" x14ac:dyDescent="0.9">
      <c r="A606" s="64">
        <v>1</v>
      </c>
      <c r="B606" s="96">
        <f>SUBTOTAL(103,$A$561:A606)</f>
        <v>46</v>
      </c>
      <c r="C606" s="94" t="s">
        <v>586</v>
      </c>
      <c r="D606" s="138" t="s">
        <v>371</v>
      </c>
      <c r="E606" s="138"/>
      <c r="F606" s="167" t="s">
        <v>273</v>
      </c>
      <c r="G606" s="138" t="s">
        <v>316</v>
      </c>
      <c r="H606" s="138">
        <v>3</v>
      </c>
      <c r="I606" s="129">
        <v>2170</v>
      </c>
      <c r="J606" s="129">
        <v>2000.7</v>
      </c>
      <c r="K606" s="129">
        <v>1948.1</v>
      </c>
      <c r="L606" s="139">
        <v>85</v>
      </c>
      <c r="M606" s="138" t="s">
        <v>271</v>
      </c>
      <c r="N606" s="138" t="s">
        <v>275</v>
      </c>
      <c r="O606" s="136" t="s">
        <v>1044</v>
      </c>
      <c r="P606" s="130">
        <v>3192730.04</v>
      </c>
      <c r="Q606" s="130">
        <v>0</v>
      </c>
      <c r="R606" s="130">
        <v>0</v>
      </c>
      <c r="S606" s="130">
        <f t="shared" si="190"/>
        <v>3192730.04</v>
      </c>
      <c r="T606" s="130">
        <f t="shared" si="191"/>
        <v>1471.3041658986176</v>
      </c>
      <c r="U606" s="130">
        <v>1813.6379999999999</v>
      </c>
    </row>
    <row r="607" spans="1:21" s="64" customFormat="1" ht="36" customHeight="1" x14ac:dyDescent="0.9">
      <c r="A607" s="64">
        <v>1</v>
      </c>
      <c r="B607" s="96">
        <f>SUBTOTAL(103,$A$561:A607)</f>
        <v>47</v>
      </c>
      <c r="C607" s="94" t="s">
        <v>587</v>
      </c>
      <c r="D607" s="138">
        <v>1981</v>
      </c>
      <c r="E607" s="138"/>
      <c r="F607" s="167" t="s">
        <v>273</v>
      </c>
      <c r="G607" s="138">
        <v>5</v>
      </c>
      <c r="H607" s="138">
        <v>1</v>
      </c>
      <c r="I607" s="129">
        <v>1247.5999999999999</v>
      </c>
      <c r="J607" s="129">
        <v>982.4</v>
      </c>
      <c r="K607" s="129">
        <v>982.4</v>
      </c>
      <c r="L607" s="139">
        <v>41</v>
      </c>
      <c r="M607" s="138" t="s">
        <v>271</v>
      </c>
      <c r="N607" s="138" t="s">
        <v>275</v>
      </c>
      <c r="O607" s="136" t="s">
        <v>1042</v>
      </c>
      <c r="P607" s="130">
        <v>1265842.2</v>
      </c>
      <c r="Q607" s="130">
        <v>0</v>
      </c>
      <c r="R607" s="130">
        <v>0</v>
      </c>
      <c r="S607" s="130">
        <f t="shared" si="190"/>
        <v>1265842.2</v>
      </c>
      <c r="T607" s="130">
        <f t="shared" si="191"/>
        <v>1014.6218339211287</v>
      </c>
      <c r="U607" s="130">
        <v>1390.7077749278617</v>
      </c>
    </row>
    <row r="608" spans="1:21" s="64" customFormat="1" ht="36" customHeight="1" x14ac:dyDescent="0.9">
      <c r="A608" s="64">
        <v>1</v>
      </c>
      <c r="B608" s="96">
        <f>SUBTOTAL(103,$A$561:A608)</f>
        <v>48</v>
      </c>
      <c r="C608" s="94" t="s">
        <v>588</v>
      </c>
      <c r="D608" s="138" t="s">
        <v>325</v>
      </c>
      <c r="E608" s="138"/>
      <c r="F608" s="167" t="s">
        <v>273</v>
      </c>
      <c r="G608" s="138" t="s">
        <v>361</v>
      </c>
      <c r="H608" s="138">
        <v>1</v>
      </c>
      <c r="I608" s="129">
        <v>2919</v>
      </c>
      <c r="J608" s="129">
        <v>1755</v>
      </c>
      <c r="K608" s="129">
        <v>1549</v>
      </c>
      <c r="L608" s="139">
        <v>142</v>
      </c>
      <c r="M608" s="138" t="s">
        <v>271</v>
      </c>
      <c r="N608" s="138" t="s">
        <v>275</v>
      </c>
      <c r="O608" s="136" t="s">
        <v>1039</v>
      </c>
      <c r="P608" s="130">
        <v>3576070.0900000003</v>
      </c>
      <c r="Q608" s="130">
        <v>0</v>
      </c>
      <c r="R608" s="130">
        <v>0</v>
      </c>
      <c r="S608" s="130">
        <f t="shared" si="190"/>
        <v>3576070.0900000003</v>
      </c>
      <c r="T608" s="130">
        <f t="shared" si="191"/>
        <v>1225.1010928400137</v>
      </c>
      <c r="U608" s="130">
        <v>1495.3141897910243</v>
      </c>
    </row>
    <row r="609" spans="1:21" s="64" customFormat="1" ht="36" customHeight="1" x14ac:dyDescent="0.9">
      <c r="A609" s="64">
        <v>1</v>
      </c>
      <c r="B609" s="96">
        <f>SUBTOTAL(103,$A$561:A609)</f>
        <v>49</v>
      </c>
      <c r="C609" s="94" t="s">
        <v>589</v>
      </c>
      <c r="D609" s="138" t="s">
        <v>315</v>
      </c>
      <c r="E609" s="138"/>
      <c r="F609" s="167" t="s">
        <v>319</v>
      </c>
      <c r="G609" s="138" t="s">
        <v>361</v>
      </c>
      <c r="H609" s="138">
        <v>7</v>
      </c>
      <c r="I609" s="129">
        <v>8158.5</v>
      </c>
      <c r="J609" s="129">
        <v>6418.7</v>
      </c>
      <c r="K609" s="129">
        <v>5954.4</v>
      </c>
      <c r="L609" s="139">
        <v>300</v>
      </c>
      <c r="M609" s="138" t="s">
        <v>271</v>
      </c>
      <c r="N609" s="138" t="s">
        <v>275</v>
      </c>
      <c r="O609" s="136" t="s">
        <v>1039</v>
      </c>
      <c r="P609" s="130">
        <v>8216874.9699999997</v>
      </c>
      <c r="Q609" s="130">
        <v>0</v>
      </c>
      <c r="R609" s="130">
        <v>0</v>
      </c>
      <c r="S609" s="130">
        <f t="shared" si="190"/>
        <v>8216874.9699999997</v>
      </c>
      <c r="T609" s="130">
        <f t="shared" si="191"/>
        <v>1007.1551106208249</v>
      </c>
      <c r="U609" s="130">
        <v>1250.8103793589507</v>
      </c>
    </row>
    <row r="610" spans="1:21" s="64" customFormat="1" ht="36" customHeight="1" x14ac:dyDescent="0.9">
      <c r="A610" s="64">
        <v>1</v>
      </c>
      <c r="B610" s="96">
        <f>SUBTOTAL(103,$A$561:A610)</f>
        <v>50</v>
      </c>
      <c r="C610" s="94" t="s">
        <v>590</v>
      </c>
      <c r="D610" s="138" t="s">
        <v>314</v>
      </c>
      <c r="E610" s="138"/>
      <c r="F610" s="167" t="s">
        <v>273</v>
      </c>
      <c r="G610" s="138" t="s">
        <v>316</v>
      </c>
      <c r="H610" s="138">
        <v>3</v>
      </c>
      <c r="I610" s="129">
        <v>2920</v>
      </c>
      <c r="J610" s="129">
        <v>1821.75</v>
      </c>
      <c r="K610" s="129">
        <v>1787.35</v>
      </c>
      <c r="L610" s="139">
        <v>115</v>
      </c>
      <c r="M610" s="138" t="s">
        <v>271</v>
      </c>
      <c r="N610" s="138" t="s">
        <v>275</v>
      </c>
      <c r="O610" s="136" t="s">
        <v>1039</v>
      </c>
      <c r="P610" s="130">
        <v>5458332.7699999996</v>
      </c>
      <c r="Q610" s="130">
        <v>0</v>
      </c>
      <c r="R610" s="130">
        <v>0</v>
      </c>
      <c r="S610" s="130">
        <f t="shared" si="190"/>
        <v>5458332.7699999996</v>
      </c>
      <c r="T610" s="130">
        <f t="shared" si="191"/>
        <v>1869.2920445205477</v>
      </c>
      <c r="U610" s="130">
        <v>2339.510205479452</v>
      </c>
    </row>
    <row r="611" spans="1:21" s="64" customFormat="1" ht="36" customHeight="1" x14ac:dyDescent="0.9">
      <c r="A611" s="64">
        <v>1</v>
      </c>
      <c r="B611" s="96">
        <f>SUBTOTAL(103,$A$561:A611)</f>
        <v>51</v>
      </c>
      <c r="C611" s="94" t="s">
        <v>1454</v>
      </c>
      <c r="D611" s="138">
        <v>1961</v>
      </c>
      <c r="E611" s="138"/>
      <c r="F611" s="167" t="s">
        <v>273</v>
      </c>
      <c r="G611" s="138" t="s">
        <v>361</v>
      </c>
      <c r="H611" s="138">
        <v>3</v>
      </c>
      <c r="I611" s="129">
        <v>2772</v>
      </c>
      <c r="J611" s="129">
        <v>2431.1</v>
      </c>
      <c r="K611" s="129">
        <v>2250.6999999999998</v>
      </c>
      <c r="L611" s="139">
        <v>125</v>
      </c>
      <c r="M611" s="138" t="s">
        <v>271</v>
      </c>
      <c r="N611" s="138" t="s">
        <v>275</v>
      </c>
      <c r="O611" s="136" t="s">
        <v>1461</v>
      </c>
      <c r="P611" s="130">
        <v>3614770.42</v>
      </c>
      <c r="Q611" s="130">
        <v>0</v>
      </c>
      <c r="R611" s="130">
        <v>0</v>
      </c>
      <c r="S611" s="130">
        <f t="shared" si="190"/>
        <v>3614770.42</v>
      </c>
      <c r="T611" s="130">
        <f t="shared" si="191"/>
        <v>1304.0297330447331</v>
      </c>
      <c r="U611" s="130">
        <v>1648.7618181818182</v>
      </c>
    </row>
    <row r="612" spans="1:21" s="64" customFormat="1" ht="36" customHeight="1" x14ac:dyDescent="0.9">
      <c r="A612" s="64">
        <v>1</v>
      </c>
      <c r="B612" s="96">
        <f>SUBTOTAL(103,$A$561:A612)</f>
        <v>52</v>
      </c>
      <c r="C612" s="94" t="s">
        <v>1455</v>
      </c>
      <c r="D612" s="138">
        <v>1994</v>
      </c>
      <c r="E612" s="138"/>
      <c r="F612" s="167" t="s">
        <v>273</v>
      </c>
      <c r="G612" s="138">
        <v>4</v>
      </c>
      <c r="H612" s="138">
        <v>3</v>
      </c>
      <c r="I612" s="129">
        <v>1861.8</v>
      </c>
      <c r="J612" s="129">
        <v>1644.3</v>
      </c>
      <c r="K612" s="129">
        <v>1644.3</v>
      </c>
      <c r="L612" s="139">
        <v>80</v>
      </c>
      <c r="M612" s="138" t="s">
        <v>271</v>
      </c>
      <c r="N612" s="138" t="s">
        <v>275</v>
      </c>
      <c r="O612" s="136" t="s">
        <v>1473</v>
      </c>
      <c r="P612" s="130">
        <v>3214943.65</v>
      </c>
      <c r="Q612" s="130">
        <v>0</v>
      </c>
      <c r="R612" s="130">
        <v>0</v>
      </c>
      <c r="S612" s="130">
        <f t="shared" si="190"/>
        <v>3214943.65</v>
      </c>
      <c r="T612" s="130">
        <f t="shared" si="191"/>
        <v>1726.793237726931</v>
      </c>
      <c r="U612" s="130">
        <v>2175.5603179718555</v>
      </c>
    </row>
    <row r="613" spans="1:21" s="64" customFormat="1" ht="36" customHeight="1" x14ac:dyDescent="0.9">
      <c r="A613" s="64">
        <v>1</v>
      </c>
      <c r="B613" s="96">
        <f>SUBTOTAL(103,$A$561:A613)</f>
        <v>53</v>
      </c>
      <c r="C613" s="94" t="s">
        <v>1456</v>
      </c>
      <c r="D613" s="138">
        <v>1917</v>
      </c>
      <c r="E613" s="138"/>
      <c r="F613" s="167" t="s">
        <v>273</v>
      </c>
      <c r="G613" s="138">
        <v>2</v>
      </c>
      <c r="H613" s="138">
        <v>1</v>
      </c>
      <c r="I613" s="129">
        <v>370.5</v>
      </c>
      <c r="J613" s="129">
        <v>370.5</v>
      </c>
      <c r="K613" s="129">
        <v>208.6</v>
      </c>
      <c r="L613" s="139">
        <v>22</v>
      </c>
      <c r="M613" s="138" t="s">
        <v>271</v>
      </c>
      <c r="N613" s="138" t="s">
        <v>275</v>
      </c>
      <c r="O613" s="136" t="s">
        <v>1474</v>
      </c>
      <c r="P613" s="130">
        <v>1335035.1000000001</v>
      </c>
      <c r="Q613" s="130">
        <v>0</v>
      </c>
      <c r="R613" s="130">
        <v>0</v>
      </c>
      <c r="S613" s="130">
        <f t="shared" si="190"/>
        <v>1335035.1000000001</v>
      </c>
      <c r="T613" s="130">
        <f t="shared" si="191"/>
        <v>3603.3336032388665</v>
      </c>
      <c r="U613" s="130">
        <v>4439.0482941970313</v>
      </c>
    </row>
    <row r="614" spans="1:21" s="64" customFormat="1" ht="36" customHeight="1" x14ac:dyDescent="0.9">
      <c r="A614" s="64">
        <v>1</v>
      </c>
      <c r="B614" s="96">
        <f>SUBTOTAL(103,$A$561:A614)</f>
        <v>54</v>
      </c>
      <c r="C614" s="94" t="s">
        <v>1457</v>
      </c>
      <c r="D614" s="138">
        <v>1917</v>
      </c>
      <c r="E614" s="138"/>
      <c r="F614" s="167" t="s">
        <v>273</v>
      </c>
      <c r="G614" s="138">
        <v>3</v>
      </c>
      <c r="H614" s="138">
        <v>2</v>
      </c>
      <c r="I614" s="129">
        <v>1376.9</v>
      </c>
      <c r="J614" s="129">
        <v>779.2</v>
      </c>
      <c r="K614" s="129">
        <v>660.2</v>
      </c>
      <c r="L614" s="139">
        <v>50</v>
      </c>
      <c r="M614" s="138" t="s">
        <v>271</v>
      </c>
      <c r="N614" s="138" t="s">
        <v>275</v>
      </c>
      <c r="O614" s="136" t="s">
        <v>1460</v>
      </c>
      <c r="P614" s="130">
        <v>4219164.3499999996</v>
      </c>
      <c r="Q614" s="130">
        <v>0</v>
      </c>
      <c r="R614" s="130">
        <v>0</v>
      </c>
      <c r="S614" s="130">
        <f t="shared" si="190"/>
        <v>4219164.3499999996</v>
      </c>
      <c r="T614" s="130">
        <f t="shared" si="191"/>
        <v>3064.2489287529952</v>
      </c>
      <c r="U614" s="130">
        <v>3890.0991793158537</v>
      </c>
    </row>
    <row r="615" spans="1:21" s="64" customFormat="1" ht="36" customHeight="1" x14ac:dyDescent="0.9">
      <c r="A615" s="64">
        <v>1</v>
      </c>
      <c r="B615" s="96">
        <f>SUBTOTAL(103,$A$561:A615)</f>
        <v>55</v>
      </c>
      <c r="C615" s="94" t="s">
        <v>1458</v>
      </c>
      <c r="D615" s="138">
        <v>1961</v>
      </c>
      <c r="E615" s="138"/>
      <c r="F615" s="167" t="s">
        <v>273</v>
      </c>
      <c r="G615" s="138" t="s">
        <v>316</v>
      </c>
      <c r="H615" s="138">
        <v>2</v>
      </c>
      <c r="I615" s="129">
        <v>1130.4000000000001</v>
      </c>
      <c r="J615" s="129">
        <v>1044.5999999999999</v>
      </c>
      <c r="K615" s="129">
        <v>1044.5999999999999</v>
      </c>
      <c r="L615" s="139">
        <v>65</v>
      </c>
      <c r="M615" s="138" t="s">
        <v>271</v>
      </c>
      <c r="N615" s="138" t="s">
        <v>275</v>
      </c>
      <c r="O615" s="136" t="s">
        <v>1475</v>
      </c>
      <c r="P615" s="130">
        <v>3028742.06</v>
      </c>
      <c r="Q615" s="130">
        <v>0</v>
      </c>
      <c r="R615" s="130">
        <v>0</v>
      </c>
      <c r="S615" s="130">
        <f t="shared" si="190"/>
        <v>3028742.06</v>
      </c>
      <c r="T615" s="130">
        <f t="shared" si="191"/>
        <v>2679.3542639773532</v>
      </c>
      <c r="U615" s="130">
        <v>3369.2850318471333</v>
      </c>
    </row>
    <row r="616" spans="1:21" s="64" customFormat="1" ht="36" customHeight="1" x14ac:dyDescent="0.9">
      <c r="A616" s="64">
        <v>1</v>
      </c>
      <c r="B616" s="96">
        <f>SUBTOTAL(103,$A$561:A616)</f>
        <v>56</v>
      </c>
      <c r="C616" s="94" t="s">
        <v>591</v>
      </c>
      <c r="D616" s="138">
        <v>1958</v>
      </c>
      <c r="E616" s="138"/>
      <c r="F616" s="167" t="s">
        <v>273</v>
      </c>
      <c r="G616" s="138">
        <v>2</v>
      </c>
      <c r="H616" s="138">
        <v>2</v>
      </c>
      <c r="I616" s="129">
        <v>593.5</v>
      </c>
      <c r="J616" s="129">
        <v>548.79999999999995</v>
      </c>
      <c r="K616" s="129">
        <v>511.1</v>
      </c>
      <c r="L616" s="139">
        <v>26</v>
      </c>
      <c r="M616" s="138" t="s">
        <v>271</v>
      </c>
      <c r="N616" s="138" t="s">
        <v>275</v>
      </c>
      <c r="O616" s="136" t="s">
        <v>1039</v>
      </c>
      <c r="P616" s="130">
        <v>80000</v>
      </c>
      <c r="Q616" s="130">
        <v>0</v>
      </c>
      <c r="R616" s="130">
        <v>0</v>
      </c>
      <c r="S616" s="130">
        <f t="shared" si="190"/>
        <v>80000</v>
      </c>
      <c r="T616" s="130">
        <f t="shared" si="191"/>
        <v>134.79359730412804</v>
      </c>
      <c r="U616" s="130">
        <v>134.79359730412804</v>
      </c>
    </row>
    <row r="617" spans="1:21" s="64" customFormat="1" ht="36" customHeight="1" x14ac:dyDescent="0.9">
      <c r="A617" s="64">
        <v>1</v>
      </c>
      <c r="B617" s="96">
        <f>SUBTOTAL(103,$A$561:A617)</f>
        <v>57</v>
      </c>
      <c r="C617" s="94" t="s">
        <v>592</v>
      </c>
      <c r="D617" s="138" t="s">
        <v>317</v>
      </c>
      <c r="E617" s="138"/>
      <c r="F617" s="167" t="s">
        <v>273</v>
      </c>
      <c r="G617" s="138" t="s">
        <v>361</v>
      </c>
      <c r="H617" s="138">
        <v>1</v>
      </c>
      <c r="I617" s="129">
        <v>658.3</v>
      </c>
      <c r="J617" s="129">
        <v>606.6</v>
      </c>
      <c r="K617" s="129">
        <v>287.10000000000002</v>
      </c>
      <c r="L617" s="139">
        <v>17</v>
      </c>
      <c r="M617" s="138" t="s">
        <v>271</v>
      </c>
      <c r="N617" s="138" t="s">
        <v>275</v>
      </c>
      <c r="O617" s="136" t="s">
        <v>1059</v>
      </c>
      <c r="P617" s="130">
        <v>70000</v>
      </c>
      <c r="Q617" s="130">
        <v>0</v>
      </c>
      <c r="R617" s="130">
        <v>0</v>
      </c>
      <c r="S617" s="130">
        <f t="shared" si="190"/>
        <v>70000</v>
      </c>
      <c r="T617" s="130">
        <f t="shared" si="191"/>
        <v>106.33449794926327</v>
      </c>
      <c r="U617" s="130">
        <v>106.33449794926327</v>
      </c>
    </row>
    <row r="618" spans="1:21" s="64" customFormat="1" ht="36" customHeight="1" x14ac:dyDescent="0.9">
      <c r="A618" s="64">
        <v>1</v>
      </c>
      <c r="B618" s="96">
        <f>SUBTOTAL(103,$A$561:A618)</f>
        <v>58</v>
      </c>
      <c r="C618" s="94" t="s">
        <v>1133</v>
      </c>
      <c r="D618" s="138">
        <v>1962</v>
      </c>
      <c r="E618" s="138"/>
      <c r="F618" s="167" t="s">
        <v>273</v>
      </c>
      <c r="G618" s="138">
        <v>3</v>
      </c>
      <c r="H618" s="138">
        <v>2</v>
      </c>
      <c r="I618" s="129">
        <v>970.2</v>
      </c>
      <c r="J618" s="129">
        <v>615</v>
      </c>
      <c r="K618" s="129">
        <v>615</v>
      </c>
      <c r="L618" s="139">
        <v>60</v>
      </c>
      <c r="M618" s="138" t="s">
        <v>271</v>
      </c>
      <c r="N618" s="138" t="s">
        <v>275</v>
      </c>
      <c r="O618" s="136" t="s">
        <v>1142</v>
      </c>
      <c r="P618" s="130">
        <v>80000</v>
      </c>
      <c r="Q618" s="130">
        <v>0</v>
      </c>
      <c r="R618" s="130">
        <v>0</v>
      </c>
      <c r="S618" s="130">
        <f t="shared" si="190"/>
        <v>80000</v>
      </c>
      <c r="T618" s="130">
        <f t="shared" si="191"/>
        <v>82.457225314368173</v>
      </c>
      <c r="U618" s="130">
        <v>82.457225314368173</v>
      </c>
    </row>
    <row r="619" spans="1:21" s="64" customFormat="1" ht="36" customHeight="1" x14ac:dyDescent="0.9">
      <c r="A619" s="64">
        <v>1</v>
      </c>
      <c r="B619" s="96">
        <f>SUBTOTAL(103,$A$561:A619)</f>
        <v>59</v>
      </c>
      <c r="C619" s="94" t="s">
        <v>593</v>
      </c>
      <c r="D619" s="138" t="s">
        <v>322</v>
      </c>
      <c r="E619" s="138"/>
      <c r="F619" s="167" t="s">
        <v>319</v>
      </c>
      <c r="G619" s="138" t="s">
        <v>361</v>
      </c>
      <c r="H619" s="138">
        <v>3</v>
      </c>
      <c r="I619" s="129">
        <v>2819.1</v>
      </c>
      <c r="J619" s="129">
        <v>2571.8000000000002</v>
      </c>
      <c r="K619" s="129">
        <v>1698</v>
      </c>
      <c r="L619" s="139">
        <v>109</v>
      </c>
      <c r="M619" s="138" t="s">
        <v>271</v>
      </c>
      <c r="N619" s="138" t="s">
        <v>275</v>
      </c>
      <c r="O619" s="136" t="s">
        <v>1035</v>
      </c>
      <c r="P619" s="130">
        <v>100000</v>
      </c>
      <c r="Q619" s="130">
        <v>0</v>
      </c>
      <c r="R619" s="130">
        <v>0</v>
      </c>
      <c r="S619" s="130">
        <f t="shared" si="190"/>
        <v>100000</v>
      </c>
      <c r="T619" s="130">
        <f t="shared" si="191"/>
        <v>35.472313859033029</v>
      </c>
      <c r="U619" s="130">
        <v>35.472313859033029</v>
      </c>
    </row>
    <row r="620" spans="1:21" s="64" customFormat="1" ht="36" customHeight="1" x14ac:dyDescent="0.9">
      <c r="A620" s="64">
        <v>1</v>
      </c>
      <c r="B620" s="96">
        <f>SUBTOTAL(103,$A$561:A620)</f>
        <v>60</v>
      </c>
      <c r="C620" s="94" t="s">
        <v>594</v>
      </c>
      <c r="D620" s="138" t="s">
        <v>317</v>
      </c>
      <c r="E620" s="138"/>
      <c r="F620" s="167" t="s">
        <v>273</v>
      </c>
      <c r="G620" s="138" t="s">
        <v>367</v>
      </c>
      <c r="H620" s="138">
        <v>1</v>
      </c>
      <c r="I620" s="129">
        <v>3295.9</v>
      </c>
      <c r="J620" s="129">
        <v>2784.3</v>
      </c>
      <c r="K620" s="129">
        <v>2287.3000000000002</v>
      </c>
      <c r="L620" s="139">
        <v>98</v>
      </c>
      <c r="M620" s="138" t="s">
        <v>271</v>
      </c>
      <c r="N620" s="138" t="s">
        <v>275</v>
      </c>
      <c r="O620" s="136" t="s">
        <v>1035</v>
      </c>
      <c r="P620" s="130">
        <v>70000</v>
      </c>
      <c r="Q620" s="130">
        <v>0</v>
      </c>
      <c r="R620" s="130">
        <v>0</v>
      </c>
      <c r="S620" s="130">
        <f t="shared" si="190"/>
        <v>70000</v>
      </c>
      <c r="T620" s="130">
        <f t="shared" si="191"/>
        <v>21.23850844989229</v>
      </c>
      <c r="U620" s="130">
        <v>21.23850844989229</v>
      </c>
    </row>
    <row r="621" spans="1:21" s="64" customFormat="1" ht="36" customHeight="1" x14ac:dyDescent="0.9">
      <c r="A621" s="64">
        <v>1</v>
      </c>
      <c r="B621" s="96">
        <f>SUBTOTAL(103,$A$561:A621)</f>
        <v>61</v>
      </c>
      <c r="C621" s="94" t="s">
        <v>595</v>
      </c>
      <c r="D621" s="138" t="s">
        <v>322</v>
      </c>
      <c r="E621" s="138"/>
      <c r="F621" s="167" t="s">
        <v>319</v>
      </c>
      <c r="G621" s="138" t="s">
        <v>361</v>
      </c>
      <c r="H621" s="138">
        <v>5</v>
      </c>
      <c r="I621" s="129">
        <v>5771.6</v>
      </c>
      <c r="J621" s="129">
        <v>4780.3999999999996</v>
      </c>
      <c r="K621" s="129">
        <v>4455.8999999999996</v>
      </c>
      <c r="L621" s="139">
        <v>241</v>
      </c>
      <c r="M621" s="138" t="s">
        <v>271</v>
      </c>
      <c r="N621" s="138" t="s">
        <v>275</v>
      </c>
      <c r="O621" s="136" t="s">
        <v>1035</v>
      </c>
      <c r="P621" s="130">
        <v>100000</v>
      </c>
      <c r="Q621" s="130">
        <v>0</v>
      </c>
      <c r="R621" s="130">
        <v>0</v>
      </c>
      <c r="S621" s="130">
        <f t="shared" si="190"/>
        <v>100000</v>
      </c>
      <c r="T621" s="130">
        <f t="shared" si="191"/>
        <v>17.326218033127727</v>
      </c>
      <c r="U621" s="130">
        <v>17.326218033127727</v>
      </c>
    </row>
    <row r="622" spans="1:21" s="64" customFormat="1" ht="36" customHeight="1" x14ac:dyDescent="0.9">
      <c r="A622" s="64">
        <v>1</v>
      </c>
      <c r="B622" s="96">
        <f>SUBTOTAL(103,$A$561:A622)</f>
        <v>62</v>
      </c>
      <c r="C622" s="94" t="s">
        <v>596</v>
      </c>
      <c r="D622" s="138" t="s">
        <v>362</v>
      </c>
      <c r="E622" s="138"/>
      <c r="F622" s="167" t="s">
        <v>273</v>
      </c>
      <c r="G622" s="138" t="s">
        <v>367</v>
      </c>
      <c r="H622" s="138">
        <v>1</v>
      </c>
      <c r="I622" s="129">
        <v>2826.2</v>
      </c>
      <c r="J622" s="129">
        <v>2772.3</v>
      </c>
      <c r="K622" s="129">
        <v>1324.2</v>
      </c>
      <c r="L622" s="139">
        <v>97</v>
      </c>
      <c r="M622" s="138" t="s">
        <v>271</v>
      </c>
      <c r="N622" s="138" t="s">
        <v>275</v>
      </c>
      <c r="O622" s="136" t="s">
        <v>1035</v>
      </c>
      <c r="P622" s="130">
        <v>100000</v>
      </c>
      <c r="Q622" s="130">
        <v>0</v>
      </c>
      <c r="R622" s="130">
        <v>0</v>
      </c>
      <c r="S622" s="130">
        <f t="shared" si="190"/>
        <v>100000</v>
      </c>
      <c r="T622" s="130">
        <f t="shared" si="191"/>
        <v>35.38320005661312</v>
      </c>
      <c r="U622" s="130">
        <v>35.38320005661312</v>
      </c>
    </row>
    <row r="623" spans="1:21" s="64" customFormat="1" ht="36" customHeight="1" x14ac:dyDescent="0.9">
      <c r="A623" s="64">
        <v>1</v>
      </c>
      <c r="B623" s="96">
        <f>SUBTOTAL(103,$A$561:A623)</f>
        <v>63</v>
      </c>
      <c r="C623" s="94" t="s">
        <v>597</v>
      </c>
      <c r="D623" s="138" t="s">
        <v>325</v>
      </c>
      <c r="E623" s="138"/>
      <c r="F623" s="167" t="s">
        <v>319</v>
      </c>
      <c r="G623" s="138" t="s">
        <v>361</v>
      </c>
      <c r="H623" s="138">
        <v>3</v>
      </c>
      <c r="I623" s="129">
        <v>2495.6</v>
      </c>
      <c r="J623" s="129">
        <v>2297</v>
      </c>
      <c r="K623" s="129">
        <v>2070.8000000000002</v>
      </c>
      <c r="L623" s="139">
        <v>94</v>
      </c>
      <c r="M623" s="138" t="s">
        <v>271</v>
      </c>
      <c r="N623" s="138" t="s">
        <v>275</v>
      </c>
      <c r="O623" s="136" t="s">
        <v>1060</v>
      </c>
      <c r="P623" s="130">
        <v>100000</v>
      </c>
      <c r="Q623" s="130">
        <v>0</v>
      </c>
      <c r="R623" s="130">
        <v>0</v>
      </c>
      <c r="S623" s="130">
        <f t="shared" si="190"/>
        <v>100000</v>
      </c>
      <c r="T623" s="130">
        <f t="shared" si="191"/>
        <v>40.070524122455524</v>
      </c>
      <c r="U623" s="130">
        <v>40.070524122455524</v>
      </c>
    </row>
    <row r="624" spans="1:21" s="64" customFormat="1" ht="36" customHeight="1" x14ac:dyDescent="0.9">
      <c r="A624" s="64">
        <v>1</v>
      </c>
      <c r="B624" s="96">
        <f>SUBTOTAL(103,$A$561:A624)</f>
        <v>64</v>
      </c>
      <c r="C624" s="94" t="s">
        <v>598</v>
      </c>
      <c r="D624" s="138" t="s">
        <v>381</v>
      </c>
      <c r="E624" s="138"/>
      <c r="F624" s="167" t="s">
        <v>273</v>
      </c>
      <c r="G624" s="138" t="s">
        <v>367</v>
      </c>
      <c r="H624" s="138">
        <v>1</v>
      </c>
      <c r="I624" s="129">
        <v>6352.8</v>
      </c>
      <c r="J624" s="129">
        <v>4687.3999999999996</v>
      </c>
      <c r="K624" s="129">
        <v>2543.4</v>
      </c>
      <c r="L624" s="139">
        <v>211</v>
      </c>
      <c r="M624" s="138" t="s">
        <v>271</v>
      </c>
      <c r="N624" s="138" t="s">
        <v>275</v>
      </c>
      <c r="O624" s="136" t="s">
        <v>1037</v>
      </c>
      <c r="P624" s="130">
        <v>100000</v>
      </c>
      <c r="Q624" s="130">
        <v>0</v>
      </c>
      <c r="R624" s="130">
        <v>0</v>
      </c>
      <c r="S624" s="130">
        <f t="shared" si="190"/>
        <v>100000</v>
      </c>
      <c r="T624" s="130">
        <f t="shared" si="191"/>
        <v>15.741090542752801</v>
      </c>
      <c r="U624" s="130">
        <v>15.741090542752801</v>
      </c>
    </row>
    <row r="625" spans="1:21" s="64" customFormat="1" ht="36" customHeight="1" x14ac:dyDescent="0.9">
      <c r="A625" s="64">
        <v>1</v>
      </c>
      <c r="B625" s="96">
        <f>SUBTOTAL(103,$A$561:A625)</f>
        <v>65</v>
      </c>
      <c r="C625" s="94" t="s">
        <v>599</v>
      </c>
      <c r="D625" s="138" t="s">
        <v>331</v>
      </c>
      <c r="E625" s="138"/>
      <c r="F625" s="167" t="s">
        <v>273</v>
      </c>
      <c r="G625" s="138">
        <v>5</v>
      </c>
      <c r="H625" s="138">
        <v>6</v>
      </c>
      <c r="I625" s="129">
        <v>5698.9</v>
      </c>
      <c r="J625" s="129">
        <v>5065.3999999999996</v>
      </c>
      <c r="K625" s="129">
        <v>4813.7</v>
      </c>
      <c r="L625" s="139">
        <v>254</v>
      </c>
      <c r="M625" s="138" t="s">
        <v>271</v>
      </c>
      <c r="N625" s="138" t="s">
        <v>275</v>
      </c>
      <c r="O625" s="136" t="s">
        <v>1041</v>
      </c>
      <c r="P625" s="130">
        <v>100000</v>
      </c>
      <c r="Q625" s="130">
        <v>0</v>
      </c>
      <c r="R625" s="130">
        <v>0</v>
      </c>
      <c r="S625" s="130">
        <f t="shared" ref="S625:S673" si="192">P625-Q625-R625</f>
        <v>100000</v>
      </c>
      <c r="T625" s="130">
        <f t="shared" si="191"/>
        <v>17.547245959746618</v>
      </c>
      <c r="U625" s="130">
        <v>17.547245959746618</v>
      </c>
    </row>
    <row r="626" spans="1:21" s="64" customFormat="1" ht="36" customHeight="1" x14ac:dyDescent="0.9">
      <c r="A626" s="64">
        <v>1</v>
      </c>
      <c r="B626" s="96">
        <f>SUBTOTAL(103,$A$561:A626)</f>
        <v>66</v>
      </c>
      <c r="C626" s="94" t="s">
        <v>600</v>
      </c>
      <c r="D626" s="138" t="s">
        <v>382</v>
      </c>
      <c r="E626" s="138"/>
      <c r="F626" s="167" t="s">
        <v>319</v>
      </c>
      <c r="G626" s="138" t="s">
        <v>361</v>
      </c>
      <c r="H626" s="138">
        <v>4</v>
      </c>
      <c r="I626" s="129">
        <v>4042.4</v>
      </c>
      <c r="J626" s="129">
        <v>3045.4</v>
      </c>
      <c r="K626" s="129">
        <v>2978.7</v>
      </c>
      <c r="L626" s="139">
        <v>118</v>
      </c>
      <c r="M626" s="138" t="s">
        <v>271</v>
      </c>
      <c r="N626" s="138" t="s">
        <v>275</v>
      </c>
      <c r="O626" s="136" t="s">
        <v>1036</v>
      </c>
      <c r="P626" s="130">
        <v>100000</v>
      </c>
      <c r="Q626" s="130">
        <v>0</v>
      </c>
      <c r="R626" s="130">
        <v>0</v>
      </c>
      <c r="S626" s="130">
        <f t="shared" si="192"/>
        <v>100000</v>
      </c>
      <c r="T626" s="130">
        <f t="shared" si="191"/>
        <v>24.737779536908768</v>
      </c>
      <c r="U626" s="130">
        <v>24.737779536908768</v>
      </c>
    </row>
    <row r="627" spans="1:21" s="64" customFormat="1" ht="36" customHeight="1" x14ac:dyDescent="0.9">
      <c r="A627" s="64">
        <v>1</v>
      </c>
      <c r="B627" s="96">
        <f>SUBTOTAL(103,$A$561:A627)</f>
        <v>67</v>
      </c>
      <c r="C627" s="94" t="s">
        <v>601</v>
      </c>
      <c r="D627" s="138">
        <v>1971</v>
      </c>
      <c r="E627" s="138"/>
      <c r="F627" s="167" t="s">
        <v>273</v>
      </c>
      <c r="G627" s="138">
        <v>5</v>
      </c>
      <c r="H627" s="138">
        <v>5</v>
      </c>
      <c r="I627" s="129">
        <v>4541.8</v>
      </c>
      <c r="J627" s="129">
        <v>4541.8</v>
      </c>
      <c r="K627" s="129">
        <v>4403.2</v>
      </c>
      <c r="L627" s="139">
        <v>250</v>
      </c>
      <c r="M627" s="138" t="s">
        <v>271</v>
      </c>
      <c r="N627" s="138" t="s">
        <v>275</v>
      </c>
      <c r="O627" s="136" t="s">
        <v>357</v>
      </c>
      <c r="P627" s="130">
        <v>100000</v>
      </c>
      <c r="Q627" s="130">
        <v>0</v>
      </c>
      <c r="R627" s="130">
        <v>0</v>
      </c>
      <c r="S627" s="130">
        <f t="shared" si="192"/>
        <v>100000</v>
      </c>
      <c r="T627" s="130">
        <f t="shared" si="191"/>
        <v>22.017702232595006</v>
      </c>
      <c r="U627" s="130">
        <v>22.017702232595006</v>
      </c>
    </row>
    <row r="628" spans="1:21" s="64" customFormat="1" ht="36" customHeight="1" x14ac:dyDescent="0.9">
      <c r="A628" s="64">
        <v>1</v>
      </c>
      <c r="B628" s="96">
        <f>SUBTOTAL(103,$A$561:A628)</f>
        <v>68</v>
      </c>
      <c r="C628" s="94" t="s">
        <v>602</v>
      </c>
      <c r="D628" s="138" t="s">
        <v>317</v>
      </c>
      <c r="E628" s="138"/>
      <c r="F628" s="167" t="s">
        <v>319</v>
      </c>
      <c r="G628" s="138" t="s">
        <v>361</v>
      </c>
      <c r="H628" s="138">
        <v>6</v>
      </c>
      <c r="I628" s="129">
        <v>6071.1</v>
      </c>
      <c r="J628" s="129">
        <v>4547.3999999999996</v>
      </c>
      <c r="K628" s="129">
        <v>4155.2</v>
      </c>
      <c r="L628" s="139">
        <v>204</v>
      </c>
      <c r="M628" s="138" t="s">
        <v>271</v>
      </c>
      <c r="N628" s="138" t="s">
        <v>275</v>
      </c>
      <c r="O628" s="136" t="s">
        <v>1036</v>
      </c>
      <c r="P628" s="130">
        <v>100000</v>
      </c>
      <c r="Q628" s="130">
        <v>0</v>
      </c>
      <c r="R628" s="130">
        <v>0</v>
      </c>
      <c r="S628" s="130">
        <f t="shared" si="192"/>
        <v>100000</v>
      </c>
      <c r="T628" s="130">
        <f t="shared" si="191"/>
        <v>16.471479633015434</v>
      </c>
      <c r="U628" s="130">
        <v>16.471479633015434</v>
      </c>
    </row>
    <row r="629" spans="1:21" s="64" customFormat="1" ht="36" customHeight="1" x14ac:dyDescent="0.9">
      <c r="A629" s="64">
        <v>1</v>
      </c>
      <c r="B629" s="96">
        <f>SUBTOTAL(103,$A$561:A629)</f>
        <v>69</v>
      </c>
      <c r="C629" s="94" t="s">
        <v>603</v>
      </c>
      <c r="D629" s="138" t="s">
        <v>380</v>
      </c>
      <c r="E629" s="138"/>
      <c r="F629" s="167" t="s">
        <v>319</v>
      </c>
      <c r="G629" s="138" t="s">
        <v>383</v>
      </c>
      <c r="H629" s="138">
        <v>2</v>
      </c>
      <c r="I629" s="129">
        <v>2963</v>
      </c>
      <c r="J629" s="129">
        <v>2175.9</v>
      </c>
      <c r="K629" s="129">
        <v>2084.1</v>
      </c>
      <c r="L629" s="139">
        <v>123</v>
      </c>
      <c r="M629" s="138" t="s">
        <v>271</v>
      </c>
      <c r="N629" s="138" t="s">
        <v>275</v>
      </c>
      <c r="O629" s="136" t="s">
        <v>1036</v>
      </c>
      <c r="P629" s="130">
        <v>100000</v>
      </c>
      <c r="Q629" s="130">
        <v>0</v>
      </c>
      <c r="R629" s="130">
        <v>0</v>
      </c>
      <c r="S629" s="130">
        <f t="shared" si="192"/>
        <v>100000</v>
      </c>
      <c r="T629" s="130">
        <f t="shared" si="191"/>
        <v>33.74957813027337</v>
      </c>
      <c r="U629" s="130">
        <v>33.74957813027337</v>
      </c>
    </row>
    <row r="630" spans="1:21" s="64" customFormat="1" ht="36" customHeight="1" x14ac:dyDescent="0.9">
      <c r="A630" s="64">
        <v>1</v>
      </c>
      <c r="B630" s="96">
        <f>SUBTOTAL(103,$A$561:A630)</f>
        <v>70</v>
      </c>
      <c r="C630" s="94" t="s">
        <v>604</v>
      </c>
      <c r="D630" s="138" t="s">
        <v>321</v>
      </c>
      <c r="E630" s="138"/>
      <c r="F630" s="167" t="s">
        <v>319</v>
      </c>
      <c r="G630" s="138" t="s">
        <v>383</v>
      </c>
      <c r="H630" s="138">
        <v>2</v>
      </c>
      <c r="I630" s="129">
        <v>2482.1</v>
      </c>
      <c r="J630" s="129">
        <v>2181.5500000000002</v>
      </c>
      <c r="K630" s="129">
        <v>1858.6</v>
      </c>
      <c r="L630" s="139">
        <v>96</v>
      </c>
      <c r="M630" s="138" t="s">
        <v>271</v>
      </c>
      <c r="N630" s="138" t="s">
        <v>275</v>
      </c>
      <c r="O630" s="136" t="s">
        <v>1039</v>
      </c>
      <c r="P630" s="130">
        <v>99900</v>
      </c>
      <c r="Q630" s="130">
        <v>0</v>
      </c>
      <c r="R630" s="130">
        <v>0</v>
      </c>
      <c r="S630" s="130">
        <f t="shared" si="192"/>
        <v>99900</v>
      </c>
      <c r="T630" s="130">
        <f t="shared" si="191"/>
        <v>40.248176946940092</v>
      </c>
      <c r="U630" s="130">
        <v>40.248176946940092</v>
      </c>
    </row>
    <row r="631" spans="1:21" s="64" customFormat="1" ht="36" customHeight="1" x14ac:dyDescent="0.9">
      <c r="A631" s="64">
        <v>1</v>
      </c>
      <c r="B631" s="96">
        <f>SUBTOTAL(103,$A$561:A631)</f>
        <v>71</v>
      </c>
      <c r="C631" s="94" t="s">
        <v>605</v>
      </c>
      <c r="D631" s="138" t="s">
        <v>384</v>
      </c>
      <c r="E631" s="138"/>
      <c r="F631" s="167" t="s">
        <v>319</v>
      </c>
      <c r="G631" s="138" t="s">
        <v>361</v>
      </c>
      <c r="H631" s="138">
        <v>4</v>
      </c>
      <c r="I631" s="129">
        <v>3579.9</v>
      </c>
      <c r="J631" s="129">
        <v>3134.6</v>
      </c>
      <c r="K631" s="129">
        <v>3134.6</v>
      </c>
      <c r="L631" s="139">
        <v>151</v>
      </c>
      <c r="M631" s="138" t="s">
        <v>271</v>
      </c>
      <c r="N631" s="138" t="s">
        <v>275</v>
      </c>
      <c r="O631" s="136" t="s">
        <v>1041</v>
      </c>
      <c r="P631" s="130">
        <v>100000</v>
      </c>
      <c r="Q631" s="130">
        <v>0</v>
      </c>
      <c r="R631" s="130">
        <v>0</v>
      </c>
      <c r="S631" s="130">
        <f t="shared" si="192"/>
        <v>100000</v>
      </c>
      <c r="T631" s="130">
        <f t="shared" si="191"/>
        <v>27.933741165954356</v>
      </c>
      <c r="U631" s="130">
        <v>27.933741165954356</v>
      </c>
    </row>
    <row r="632" spans="1:21" s="64" customFormat="1" ht="36" customHeight="1" x14ac:dyDescent="0.9">
      <c r="A632" s="64">
        <v>1</v>
      </c>
      <c r="B632" s="96">
        <f>SUBTOTAL(103,$A$561:A632)</f>
        <v>72</v>
      </c>
      <c r="C632" s="94" t="s">
        <v>606</v>
      </c>
      <c r="D632" s="138" t="s">
        <v>385</v>
      </c>
      <c r="E632" s="138"/>
      <c r="F632" s="167" t="s">
        <v>273</v>
      </c>
      <c r="G632" s="138" t="s">
        <v>320</v>
      </c>
      <c r="H632" s="138">
        <v>1</v>
      </c>
      <c r="I632" s="129">
        <v>1637</v>
      </c>
      <c r="J632" s="129">
        <v>983.6</v>
      </c>
      <c r="K632" s="129">
        <v>768.5</v>
      </c>
      <c r="L632" s="139">
        <v>71</v>
      </c>
      <c r="M632" s="138" t="s">
        <v>271</v>
      </c>
      <c r="N632" s="138" t="s">
        <v>275</v>
      </c>
      <c r="O632" s="136" t="s">
        <v>1039</v>
      </c>
      <c r="P632" s="130">
        <v>100000</v>
      </c>
      <c r="Q632" s="130">
        <v>0</v>
      </c>
      <c r="R632" s="130">
        <v>0</v>
      </c>
      <c r="S632" s="130">
        <f t="shared" si="192"/>
        <v>100000</v>
      </c>
      <c r="T632" s="130">
        <f t="shared" si="191"/>
        <v>61.087354917532068</v>
      </c>
      <c r="U632" s="130">
        <v>61.087354917532068</v>
      </c>
    </row>
    <row r="633" spans="1:21" s="64" customFormat="1" ht="36" customHeight="1" x14ac:dyDescent="0.9">
      <c r="A633" s="64">
        <v>1</v>
      </c>
      <c r="B633" s="96">
        <f>SUBTOTAL(103,$A$561:A633)</f>
        <v>73</v>
      </c>
      <c r="C633" s="94" t="s">
        <v>607</v>
      </c>
      <c r="D633" s="138" t="s">
        <v>318</v>
      </c>
      <c r="E633" s="138"/>
      <c r="F633" s="167" t="s">
        <v>319</v>
      </c>
      <c r="G633" s="138" t="s">
        <v>361</v>
      </c>
      <c r="H633" s="138">
        <v>3</v>
      </c>
      <c r="I633" s="129">
        <v>2249.1</v>
      </c>
      <c r="J633" s="129">
        <v>2046.7</v>
      </c>
      <c r="K633" s="129">
        <v>2046.7</v>
      </c>
      <c r="L633" s="139">
        <v>97</v>
      </c>
      <c r="M633" s="138" t="s">
        <v>271</v>
      </c>
      <c r="N633" s="138" t="s">
        <v>275</v>
      </c>
      <c r="O633" s="136" t="s">
        <v>1041</v>
      </c>
      <c r="P633" s="130">
        <v>100000</v>
      </c>
      <c r="Q633" s="130">
        <v>0</v>
      </c>
      <c r="R633" s="130">
        <v>0</v>
      </c>
      <c r="S633" s="130">
        <f t="shared" si="192"/>
        <v>100000</v>
      </c>
      <c r="T633" s="130">
        <f t="shared" si="191"/>
        <v>44.462229336178915</v>
      </c>
      <c r="U633" s="130">
        <v>44.462229336178915</v>
      </c>
    </row>
    <row r="634" spans="1:21" s="64" customFormat="1" ht="36" customHeight="1" x14ac:dyDescent="0.9">
      <c r="A634" s="64">
        <v>1</v>
      </c>
      <c r="B634" s="96">
        <f>SUBTOTAL(103,$A$561:A634)</f>
        <v>74</v>
      </c>
      <c r="C634" s="94" t="s">
        <v>608</v>
      </c>
      <c r="D634" s="138" t="s">
        <v>318</v>
      </c>
      <c r="E634" s="138"/>
      <c r="F634" s="167" t="s">
        <v>273</v>
      </c>
      <c r="G634" s="138" t="s">
        <v>361</v>
      </c>
      <c r="H634" s="138">
        <v>1</v>
      </c>
      <c r="I634" s="129">
        <v>867.9</v>
      </c>
      <c r="J634" s="129">
        <v>809.2</v>
      </c>
      <c r="K634" s="129">
        <v>766.2</v>
      </c>
      <c r="L634" s="139">
        <v>36</v>
      </c>
      <c r="M634" s="138" t="s">
        <v>271</v>
      </c>
      <c r="N634" s="138" t="s">
        <v>275</v>
      </c>
      <c r="O634" s="136" t="s">
        <v>358</v>
      </c>
      <c r="P634" s="130">
        <v>100000</v>
      </c>
      <c r="Q634" s="130">
        <v>0</v>
      </c>
      <c r="R634" s="130">
        <v>0</v>
      </c>
      <c r="S634" s="130">
        <f t="shared" si="192"/>
        <v>100000</v>
      </c>
      <c r="T634" s="130">
        <f t="shared" si="191"/>
        <v>115.22064754003918</v>
      </c>
      <c r="U634" s="130">
        <v>115.22064754003918</v>
      </c>
    </row>
    <row r="635" spans="1:21" s="64" customFormat="1" ht="36" customHeight="1" x14ac:dyDescent="0.9">
      <c r="A635" s="64">
        <v>1</v>
      </c>
      <c r="B635" s="96">
        <f>SUBTOTAL(103,$A$561:A635)</f>
        <v>75</v>
      </c>
      <c r="C635" s="94" t="s">
        <v>609</v>
      </c>
      <c r="D635" s="101" t="s">
        <v>386</v>
      </c>
      <c r="E635" s="138"/>
      <c r="F635" s="167" t="s">
        <v>319</v>
      </c>
      <c r="G635" s="138" t="s">
        <v>361</v>
      </c>
      <c r="H635" s="138">
        <v>3</v>
      </c>
      <c r="I635" s="129">
        <v>2653.8</v>
      </c>
      <c r="J635" s="129">
        <v>2443.1</v>
      </c>
      <c r="K635" s="129">
        <v>2354.1</v>
      </c>
      <c r="L635" s="139">
        <v>102</v>
      </c>
      <c r="M635" s="138" t="s">
        <v>271</v>
      </c>
      <c r="N635" s="138" t="s">
        <v>275</v>
      </c>
      <c r="O635" s="136" t="s">
        <v>1035</v>
      </c>
      <c r="P635" s="130">
        <v>100000</v>
      </c>
      <c r="Q635" s="130">
        <v>0</v>
      </c>
      <c r="R635" s="130">
        <v>0</v>
      </c>
      <c r="S635" s="130">
        <f t="shared" si="192"/>
        <v>100000</v>
      </c>
      <c r="T635" s="130">
        <f t="shared" si="191"/>
        <v>37.681814756198655</v>
      </c>
      <c r="U635" s="130">
        <v>37.681814756198655</v>
      </c>
    </row>
    <row r="636" spans="1:21" s="64" customFormat="1" ht="36" customHeight="1" x14ac:dyDescent="0.9">
      <c r="A636" s="64">
        <v>1</v>
      </c>
      <c r="B636" s="96">
        <f>SUBTOTAL(103,$A$561:A636)</f>
        <v>76</v>
      </c>
      <c r="C636" s="94" t="s">
        <v>610</v>
      </c>
      <c r="D636" s="101" t="s">
        <v>386</v>
      </c>
      <c r="E636" s="138"/>
      <c r="F636" s="167" t="s">
        <v>319</v>
      </c>
      <c r="G636" s="138" t="s">
        <v>361</v>
      </c>
      <c r="H636" s="138">
        <v>3</v>
      </c>
      <c r="I636" s="129">
        <v>2632.8</v>
      </c>
      <c r="J636" s="129">
        <v>2351.9</v>
      </c>
      <c r="K636" s="129">
        <v>2335.8000000000002</v>
      </c>
      <c r="L636" s="139">
        <v>107</v>
      </c>
      <c r="M636" s="138" t="s">
        <v>271</v>
      </c>
      <c r="N636" s="138" t="s">
        <v>275</v>
      </c>
      <c r="O636" s="136" t="s">
        <v>1035</v>
      </c>
      <c r="P636" s="130">
        <v>100000</v>
      </c>
      <c r="Q636" s="130">
        <v>0</v>
      </c>
      <c r="R636" s="130">
        <v>0</v>
      </c>
      <c r="S636" s="130">
        <f t="shared" si="192"/>
        <v>100000</v>
      </c>
      <c r="T636" s="130">
        <f t="shared" si="191"/>
        <v>37.982376177453659</v>
      </c>
      <c r="U636" s="130">
        <v>37.982376177453659</v>
      </c>
    </row>
    <row r="637" spans="1:21" s="64" customFormat="1" ht="36" customHeight="1" x14ac:dyDescent="0.9">
      <c r="A637" s="64">
        <v>1</v>
      </c>
      <c r="B637" s="96">
        <f>SUBTOTAL(103,$A$561:A637)</f>
        <v>77</v>
      </c>
      <c r="C637" s="94" t="s">
        <v>611</v>
      </c>
      <c r="D637" s="138" t="s">
        <v>318</v>
      </c>
      <c r="E637" s="138"/>
      <c r="F637" s="167" t="s">
        <v>273</v>
      </c>
      <c r="G637" s="138" t="s">
        <v>367</v>
      </c>
      <c r="H637" s="138">
        <v>1</v>
      </c>
      <c r="I637" s="129">
        <v>3626.2</v>
      </c>
      <c r="J637" s="129">
        <v>3322.8</v>
      </c>
      <c r="K637" s="129">
        <v>3152.1</v>
      </c>
      <c r="L637" s="139">
        <v>152</v>
      </c>
      <c r="M637" s="138" t="s">
        <v>271</v>
      </c>
      <c r="N637" s="138" t="s">
        <v>275</v>
      </c>
      <c r="O637" s="136" t="s">
        <v>1035</v>
      </c>
      <c r="P637" s="130">
        <v>100000</v>
      </c>
      <c r="Q637" s="130">
        <v>0</v>
      </c>
      <c r="R637" s="130">
        <v>0</v>
      </c>
      <c r="S637" s="130">
        <f t="shared" si="192"/>
        <v>100000</v>
      </c>
      <c r="T637" s="130">
        <f t="shared" si="191"/>
        <v>27.577077932822238</v>
      </c>
      <c r="U637" s="130">
        <v>27.577077932822238</v>
      </c>
    </row>
    <row r="638" spans="1:21" s="64" customFormat="1" ht="36" customHeight="1" x14ac:dyDescent="0.9">
      <c r="A638" s="64">
        <v>1</v>
      </c>
      <c r="B638" s="96">
        <f>SUBTOTAL(103,$A$561:A638)</f>
        <v>78</v>
      </c>
      <c r="C638" s="94" t="s">
        <v>612</v>
      </c>
      <c r="D638" s="138" t="s">
        <v>315</v>
      </c>
      <c r="E638" s="138"/>
      <c r="F638" s="167" t="s">
        <v>319</v>
      </c>
      <c r="G638" s="138" t="s">
        <v>361</v>
      </c>
      <c r="H638" s="138">
        <v>4</v>
      </c>
      <c r="I638" s="129">
        <v>3900.1</v>
      </c>
      <c r="J638" s="129">
        <v>3632.2</v>
      </c>
      <c r="K638" s="129">
        <v>3566.5</v>
      </c>
      <c r="L638" s="139">
        <v>174</v>
      </c>
      <c r="M638" s="138" t="s">
        <v>271</v>
      </c>
      <c r="N638" s="138" t="s">
        <v>275</v>
      </c>
      <c r="O638" s="136" t="s">
        <v>1035</v>
      </c>
      <c r="P638" s="130">
        <v>100000</v>
      </c>
      <c r="Q638" s="130">
        <v>0</v>
      </c>
      <c r="R638" s="130">
        <v>0</v>
      </c>
      <c r="S638" s="130">
        <f t="shared" si="192"/>
        <v>100000</v>
      </c>
      <c r="T638" s="130">
        <f t="shared" si="191"/>
        <v>25.640368195687291</v>
      </c>
      <c r="U638" s="130">
        <v>25.640368195687291</v>
      </c>
    </row>
    <row r="639" spans="1:21" s="64" customFormat="1" ht="36" customHeight="1" x14ac:dyDescent="0.9">
      <c r="A639" s="64">
        <v>1</v>
      </c>
      <c r="B639" s="96">
        <f>SUBTOTAL(103,$A$561:A639)</f>
        <v>79</v>
      </c>
      <c r="C639" s="94" t="s">
        <v>613</v>
      </c>
      <c r="D639" s="138" t="s">
        <v>387</v>
      </c>
      <c r="E639" s="138"/>
      <c r="F639" s="167" t="s">
        <v>319</v>
      </c>
      <c r="G639" s="138" t="s">
        <v>361</v>
      </c>
      <c r="H639" s="138">
        <v>4</v>
      </c>
      <c r="I639" s="129">
        <v>3861</v>
      </c>
      <c r="J639" s="129">
        <v>3604.2</v>
      </c>
      <c r="K639" s="129">
        <v>3552.1</v>
      </c>
      <c r="L639" s="139">
        <v>165</v>
      </c>
      <c r="M639" s="138" t="s">
        <v>271</v>
      </c>
      <c r="N639" s="138" t="s">
        <v>275</v>
      </c>
      <c r="O639" s="136" t="s">
        <v>1035</v>
      </c>
      <c r="P639" s="130">
        <v>100000</v>
      </c>
      <c r="Q639" s="130">
        <v>0</v>
      </c>
      <c r="R639" s="130">
        <v>0</v>
      </c>
      <c r="S639" s="130">
        <f t="shared" si="192"/>
        <v>100000</v>
      </c>
      <c r="T639" s="130">
        <f t="shared" si="191"/>
        <v>25.900025900025899</v>
      </c>
      <c r="U639" s="130">
        <v>25.900025900025899</v>
      </c>
    </row>
    <row r="640" spans="1:21" s="64" customFormat="1" ht="36" customHeight="1" x14ac:dyDescent="0.9">
      <c r="A640" s="64">
        <v>1</v>
      </c>
      <c r="B640" s="96">
        <f>SUBTOTAL(103,$A$561:A640)</f>
        <v>80</v>
      </c>
      <c r="C640" s="94" t="s">
        <v>614</v>
      </c>
      <c r="D640" s="138" t="s">
        <v>388</v>
      </c>
      <c r="E640" s="138"/>
      <c r="F640" s="167" t="s">
        <v>273</v>
      </c>
      <c r="G640" s="138" t="s">
        <v>367</v>
      </c>
      <c r="H640" s="138">
        <v>1</v>
      </c>
      <c r="I640" s="129">
        <v>1800.4</v>
      </c>
      <c r="J640" s="129">
        <v>1643.1</v>
      </c>
      <c r="K640" s="129">
        <v>1043.0999999999999</v>
      </c>
      <c r="L640" s="139">
        <v>59</v>
      </c>
      <c r="M640" s="138" t="s">
        <v>271</v>
      </c>
      <c r="N640" s="138" t="s">
        <v>275</v>
      </c>
      <c r="O640" s="136" t="s">
        <v>1049</v>
      </c>
      <c r="P640" s="130">
        <v>100000</v>
      </c>
      <c r="Q640" s="130">
        <v>0</v>
      </c>
      <c r="R640" s="130">
        <v>0</v>
      </c>
      <c r="S640" s="130">
        <f t="shared" si="192"/>
        <v>100000</v>
      </c>
      <c r="T640" s="130">
        <f t="shared" si="191"/>
        <v>55.543212619417908</v>
      </c>
      <c r="U640" s="130">
        <v>55.543212619417908</v>
      </c>
    </row>
    <row r="641" spans="1:21" s="64" customFormat="1" ht="36" customHeight="1" x14ac:dyDescent="0.9">
      <c r="A641" s="64">
        <v>1</v>
      </c>
      <c r="B641" s="96">
        <f>SUBTOTAL(103,$A$561:A641)</f>
        <v>81</v>
      </c>
      <c r="C641" s="94" t="s">
        <v>615</v>
      </c>
      <c r="D641" s="138">
        <v>1962</v>
      </c>
      <c r="E641" s="138"/>
      <c r="F641" s="167" t="s">
        <v>273</v>
      </c>
      <c r="G641" s="138">
        <v>5</v>
      </c>
      <c r="H641" s="138">
        <v>4</v>
      </c>
      <c r="I641" s="129">
        <v>4073.9</v>
      </c>
      <c r="J641" s="129">
        <v>3133.8</v>
      </c>
      <c r="K641" s="129">
        <v>2004.3</v>
      </c>
      <c r="L641" s="139">
        <v>154</v>
      </c>
      <c r="M641" s="138" t="s">
        <v>271</v>
      </c>
      <c r="N641" s="138" t="s">
        <v>275</v>
      </c>
      <c r="O641" s="136" t="s">
        <v>1037</v>
      </c>
      <c r="P641" s="130">
        <v>100000</v>
      </c>
      <c r="Q641" s="130">
        <v>0</v>
      </c>
      <c r="R641" s="130">
        <v>0</v>
      </c>
      <c r="S641" s="130">
        <f t="shared" si="192"/>
        <v>100000</v>
      </c>
      <c r="T641" s="130">
        <f t="shared" si="191"/>
        <v>24.546503350597707</v>
      </c>
      <c r="U641" s="130">
        <v>24.546503350597707</v>
      </c>
    </row>
    <row r="642" spans="1:21" s="64" customFormat="1" ht="36" customHeight="1" x14ac:dyDescent="0.9">
      <c r="A642" s="64">
        <v>1</v>
      </c>
      <c r="B642" s="96">
        <f>SUBTOTAL(103,$A$561:A642)</f>
        <v>82</v>
      </c>
      <c r="C642" s="94" t="s">
        <v>616</v>
      </c>
      <c r="D642" s="138" t="s">
        <v>384</v>
      </c>
      <c r="E642" s="138"/>
      <c r="F642" s="167" t="s">
        <v>319</v>
      </c>
      <c r="G642" s="138" t="s">
        <v>361</v>
      </c>
      <c r="H642" s="138">
        <v>6</v>
      </c>
      <c r="I642" s="129">
        <v>5192.3</v>
      </c>
      <c r="J642" s="129">
        <v>4680.5</v>
      </c>
      <c r="K642" s="129">
        <v>4680.5</v>
      </c>
      <c r="L642" s="139">
        <v>526</v>
      </c>
      <c r="M642" s="138" t="s">
        <v>271</v>
      </c>
      <c r="N642" s="138" t="s">
        <v>275</v>
      </c>
      <c r="O642" s="136" t="s">
        <v>1045</v>
      </c>
      <c r="P642" s="130">
        <v>100000</v>
      </c>
      <c r="Q642" s="130">
        <v>0</v>
      </c>
      <c r="R642" s="130">
        <v>0</v>
      </c>
      <c r="S642" s="130">
        <f t="shared" si="192"/>
        <v>100000</v>
      </c>
      <c r="T642" s="130">
        <f t="shared" si="191"/>
        <v>19.259287791537467</v>
      </c>
      <c r="U642" s="130">
        <v>19.259287791537467</v>
      </c>
    </row>
    <row r="643" spans="1:21" s="64" customFormat="1" ht="36" customHeight="1" x14ac:dyDescent="0.9">
      <c r="A643" s="64">
        <v>1</v>
      </c>
      <c r="B643" s="96">
        <f>SUBTOTAL(103,$A$561:A643)</f>
        <v>83</v>
      </c>
      <c r="C643" s="94" t="s">
        <v>617</v>
      </c>
      <c r="D643" s="138" t="s">
        <v>389</v>
      </c>
      <c r="E643" s="138"/>
      <c r="F643" s="167" t="s">
        <v>319</v>
      </c>
      <c r="G643" s="138" t="s">
        <v>361</v>
      </c>
      <c r="H643" s="138">
        <v>4</v>
      </c>
      <c r="I643" s="129">
        <v>3507.7</v>
      </c>
      <c r="J643" s="129">
        <v>3166</v>
      </c>
      <c r="K643" s="129">
        <v>3166</v>
      </c>
      <c r="L643" s="139">
        <v>356</v>
      </c>
      <c r="M643" s="138" t="s">
        <v>271</v>
      </c>
      <c r="N643" s="138" t="s">
        <v>275</v>
      </c>
      <c r="O643" s="136" t="s">
        <v>1045</v>
      </c>
      <c r="P643" s="130">
        <v>100000</v>
      </c>
      <c r="Q643" s="130">
        <v>0</v>
      </c>
      <c r="R643" s="130">
        <v>0</v>
      </c>
      <c r="S643" s="130">
        <f t="shared" si="192"/>
        <v>100000</v>
      </c>
      <c r="T643" s="130">
        <f t="shared" si="191"/>
        <v>28.508709410724979</v>
      </c>
      <c r="U643" s="130">
        <v>28.508709410724979</v>
      </c>
    </row>
    <row r="644" spans="1:21" s="64" customFormat="1" ht="36" customHeight="1" x14ac:dyDescent="0.9">
      <c r="A644" s="64">
        <v>1</v>
      </c>
      <c r="B644" s="96">
        <f>SUBTOTAL(103,$A$561:A644)</f>
        <v>84</v>
      </c>
      <c r="C644" s="94" t="s">
        <v>618</v>
      </c>
      <c r="D644" s="138" t="s">
        <v>331</v>
      </c>
      <c r="E644" s="138"/>
      <c r="F644" s="167" t="s">
        <v>319</v>
      </c>
      <c r="G644" s="138" t="s">
        <v>361</v>
      </c>
      <c r="H644" s="138">
        <v>5</v>
      </c>
      <c r="I644" s="129">
        <v>5435.8</v>
      </c>
      <c r="J644" s="129">
        <v>3922.5</v>
      </c>
      <c r="K644" s="129">
        <v>3907.5</v>
      </c>
      <c r="L644" s="139">
        <v>160</v>
      </c>
      <c r="M644" s="138" t="s">
        <v>271</v>
      </c>
      <c r="N644" s="138" t="s">
        <v>275</v>
      </c>
      <c r="O644" s="136" t="s">
        <v>1035</v>
      </c>
      <c r="P644" s="130">
        <v>100000</v>
      </c>
      <c r="Q644" s="130">
        <v>0</v>
      </c>
      <c r="R644" s="130">
        <v>0</v>
      </c>
      <c r="S644" s="130">
        <f t="shared" si="192"/>
        <v>100000</v>
      </c>
      <c r="T644" s="130">
        <f t="shared" si="191"/>
        <v>18.396556164685972</v>
      </c>
      <c r="U644" s="130">
        <v>18.396556164685972</v>
      </c>
    </row>
    <row r="645" spans="1:21" s="64" customFormat="1" ht="36" customHeight="1" x14ac:dyDescent="0.9">
      <c r="A645" s="64">
        <v>1</v>
      </c>
      <c r="B645" s="96">
        <f>SUBTOTAL(103,$A$561:A645)</f>
        <v>85</v>
      </c>
      <c r="C645" s="94" t="s">
        <v>619</v>
      </c>
      <c r="D645" s="138" t="s">
        <v>370</v>
      </c>
      <c r="E645" s="138"/>
      <c r="F645" s="167" t="s">
        <v>319</v>
      </c>
      <c r="G645" s="138" t="s">
        <v>361</v>
      </c>
      <c r="H645" s="138">
        <v>4</v>
      </c>
      <c r="I645" s="129">
        <v>4425.6000000000004</v>
      </c>
      <c r="J645" s="129">
        <v>3128.2</v>
      </c>
      <c r="K645" s="129">
        <v>1799.3</v>
      </c>
      <c r="L645" s="139">
        <v>137</v>
      </c>
      <c r="M645" s="138" t="s">
        <v>271</v>
      </c>
      <c r="N645" s="138" t="s">
        <v>275</v>
      </c>
      <c r="O645" s="136" t="s">
        <v>1037</v>
      </c>
      <c r="P645" s="130">
        <v>100000</v>
      </c>
      <c r="Q645" s="130">
        <v>0</v>
      </c>
      <c r="R645" s="130">
        <v>0</v>
      </c>
      <c r="S645" s="130">
        <f t="shared" si="192"/>
        <v>100000</v>
      </c>
      <c r="T645" s="130">
        <f t="shared" si="191"/>
        <v>22.595806218365869</v>
      </c>
      <c r="U645" s="130">
        <v>22.595806218365869</v>
      </c>
    </row>
    <row r="646" spans="1:21" s="64" customFormat="1" ht="36" customHeight="1" x14ac:dyDescent="0.9">
      <c r="A646" s="64">
        <v>1</v>
      </c>
      <c r="B646" s="96">
        <f>SUBTOTAL(103,$A$561:A646)</f>
        <v>86</v>
      </c>
      <c r="C646" s="94" t="s">
        <v>620</v>
      </c>
      <c r="D646" s="138" t="s">
        <v>382</v>
      </c>
      <c r="E646" s="138"/>
      <c r="F646" s="167" t="s">
        <v>319</v>
      </c>
      <c r="G646" s="138" t="s">
        <v>361</v>
      </c>
      <c r="H646" s="138">
        <v>3</v>
      </c>
      <c r="I646" s="129">
        <v>2899.7</v>
      </c>
      <c r="J646" s="129">
        <v>2636.4</v>
      </c>
      <c r="K646" s="129">
        <v>2071.8000000000002</v>
      </c>
      <c r="L646" s="139">
        <v>83</v>
      </c>
      <c r="M646" s="138" t="s">
        <v>271</v>
      </c>
      <c r="N646" s="138" t="s">
        <v>275</v>
      </c>
      <c r="O646" s="136" t="s">
        <v>1035</v>
      </c>
      <c r="P646" s="130">
        <v>100000</v>
      </c>
      <c r="Q646" s="130">
        <v>0</v>
      </c>
      <c r="R646" s="130">
        <v>0</v>
      </c>
      <c r="S646" s="130">
        <f t="shared" si="192"/>
        <v>100000</v>
      </c>
      <c r="T646" s="130">
        <f t="shared" si="191"/>
        <v>34.486326171672935</v>
      </c>
      <c r="U646" s="130">
        <v>34.486326171672935</v>
      </c>
    </row>
    <row r="647" spans="1:21" s="64" customFormat="1" ht="36" customHeight="1" x14ac:dyDescent="0.9">
      <c r="A647" s="64">
        <v>1</v>
      </c>
      <c r="B647" s="96">
        <f>SUBTOTAL(103,$A$561:A647)</f>
        <v>87</v>
      </c>
      <c r="C647" s="94" t="s">
        <v>621</v>
      </c>
      <c r="D647" s="138">
        <v>1959</v>
      </c>
      <c r="E647" s="138"/>
      <c r="F647" s="167" t="s">
        <v>273</v>
      </c>
      <c r="G647" s="138">
        <v>5</v>
      </c>
      <c r="H647" s="138">
        <v>3</v>
      </c>
      <c r="I647" s="129">
        <v>5255.6</v>
      </c>
      <c r="J647" s="129">
        <v>3803.1</v>
      </c>
      <c r="K647" s="129">
        <v>2288.9</v>
      </c>
      <c r="L647" s="139">
        <v>136</v>
      </c>
      <c r="M647" s="138" t="s">
        <v>271</v>
      </c>
      <c r="N647" s="138" t="s">
        <v>275</v>
      </c>
      <c r="O647" s="136" t="s">
        <v>1037</v>
      </c>
      <c r="P647" s="130">
        <v>100000</v>
      </c>
      <c r="Q647" s="130">
        <v>0</v>
      </c>
      <c r="R647" s="130">
        <v>0</v>
      </c>
      <c r="S647" s="130">
        <f t="shared" si="192"/>
        <v>100000</v>
      </c>
      <c r="T647" s="130">
        <f t="shared" si="191"/>
        <v>19.027323236167135</v>
      </c>
      <c r="U647" s="130">
        <v>19.027323236167135</v>
      </c>
    </row>
    <row r="648" spans="1:21" s="64" customFormat="1" ht="36" customHeight="1" x14ac:dyDescent="0.9">
      <c r="A648" s="64">
        <v>1</v>
      </c>
      <c r="B648" s="96">
        <f>SUBTOTAL(103,$A$561:A648)</f>
        <v>88</v>
      </c>
      <c r="C648" s="94" t="s">
        <v>622</v>
      </c>
      <c r="D648" s="138" t="s">
        <v>371</v>
      </c>
      <c r="E648" s="138"/>
      <c r="F648" s="167" t="s">
        <v>273</v>
      </c>
      <c r="G648" s="138" t="s">
        <v>361</v>
      </c>
      <c r="H648" s="138">
        <v>3</v>
      </c>
      <c r="I648" s="129">
        <v>2923.9</v>
      </c>
      <c r="J648" s="129">
        <v>2704.4</v>
      </c>
      <c r="K648" s="129">
        <v>1930.7</v>
      </c>
      <c r="L648" s="139">
        <v>105</v>
      </c>
      <c r="M648" s="138" t="s">
        <v>271</v>
      </c>
      <c r="N648" s="138" t="s">
        <v>275</v>
      </c>
      <c r="O648" s="136" t="s">
        <v>1060</v>
      </c>
      <c r="P648" s="130">
        <v>100000</v>
      </c>
      <c r="Q648" s="130">
        <v>0</v>
      </c>
      <c r="R648" s="130">
        <v>0</v>
      </c>
      <c r="S648" s="130">
        <f t="shared" si="192"/>
        <v>100000</v>
      </c>
      <c r="T648" s="130">
        <f t="shared" si="191"/>
        <v>34.200896063476861</v>
      </c>
      <c r="U648" s="130">
        <v>34.200896063476861</v>
      </c>
    </row>
    <row r="649" spans="1:21" s="64" customFormat="1" ht="36" customHeight="1" x14ac:dyDescent="0.9">
      <c r="A649" s="64">
        <v>1</v>
      </c>
      <c r="B649" s="96">
        <f>SUBTOTAL(103,$A$561:A649)</f>
        <v>89</v>
      </c>
      <c r="C649" s="94" t="s">
        <v>623</v>
      </c>
      <c r="D649" s="138" t="s">
        <v>321</v>
      </c>
      <c r="E649" s="138"/>
      <c r="F649" s="167" t="s">
        <v>319</v>
      </c>
      <c r="G649" s="138" t="s">
        <v>361</v>
      </c>
      <c r="H649" s="138">
        <v>5</v>
      </c>
      <c r="I649" s="129">
        <v>3950.7</v>
      </c>
      <c r="J649" s="129">
        <v>3460</v>
      </c>
      <c r="K649" s="129">
        <v>3460</v>
      </c>
      <c r="L649" s="139">
        <v>133</v>
      </c>
      <c r="M649" s="138" t="s">
        <v>271</v>
      </c>
      <c r="N649" s="138" t="s">
        <v>275</v>
      </c>
      <c r="O649" s="136" t="s">
        <v>1041</v>
      </c>
      <c r="P649" s="130">
        <v>100000</v>
      </c>
      <c r="Q649" s="130">
        <v>0</v>
      </c>
      <c r="R649" s="130">
        <v>0</v>
      </c>
      <c r="S649" s="130">
        <f t="shared" si="192"/>
        <v>100000</v>
      </c>
      <c r="T649" s="130">
        <f t="shared" si="191"/>
        <v>25.311970030627485</v>
      </c>
      <c r="U649" s="130">
        <v>25.311970030627485</v>
      </c>
    </row>
    <row r="650" spans="1:21" s="64" customFormat="1" ht="36" customHeight="1" x14ac:dyDescent="0.9">
      <c r="A650" s="64">
        <v>1</v>
      </c>
      <c r="B650" s="96">
        <f>SUBTOTAL(103,$A$561:A650)</f>
        <v>90</v>
      </c>
      <c r="C650" s="94" t="s">
        <v>624</v>
      </c>
      <c r="D650" s="138" t="s">
        <v>318</v>
      </c>
      <c r="E650" s="138"/>
      <c r="F650" s="167" t="s">
        <v>273</v>
      </c>
      <c r="G650" s="138" t="s">
        <v>361</v>
      </c>
      <c r="H650" s="138">
        <v>4</v>
      </c>
      <c r="I650" s="129">
        <v>3048.2</v>
      </c>
      <c r="J650" s="129">
        <v>2288.5</v>
      </c>
      <c r="K650" s="129">
        <v>2288.5</v>
      </c>
      <c r="L650" s="139">
        <v>98</v>
      </c>
      <c r="M650" s="138" t="s">
        <v>271</v>
      </c>
      <c r="N650" s="138" t="s">
        <v>275</v>
      </c>
      <c r="O650" s="136" t="s">
        <v>848</v>
      </c>
      <c r="P650" s="130">
        <v>100000</v>
      </c>
      <c r="Q650" s="130">
        <v>0</v>
      </c>
      <c r="R650" s="130">
        <v>0</v>
      </c>
      <c r="S650" s="130">
        <f t="shared" si="192"/>
        <v>100000</v>
      </c>
      <c r="T650" s="130">
        <f t="shared" ref="T650:T715" si="193">P650/I650</f>
        <v>32.806246309297293</v>
      </c>
      <c r="U650" s="130">
        <v>32.806246309297293</v>
      </c>
    </row>
    <row r="651" spans="1:21" s="64" customFormat="1" ht="36" customHeight="1" x14ac:dyDescent="0.9">
      <c r="A651" s="64">
        <v>1</v>
      </c>
      <c r="B651" s="96">
        <f>SUBTOTAL(103,$A$561:A651)</f>
        <v>91</v>
      </c>
      <c r="C651" s="94" t="s">
        <v>625</v>
      </c>
      <c r="D651" s="138">
        <v>1961</v>
      </c>
      <c r="E651" s="138"/>
      <c r="F651" s="167" t="s">
        <v>273</v>
      </c>
      <c r="G651" s="138">
        <v>5</v>
      </c>
      <c r="H651" s="138">
        <v>2</v>
      </c>
      <c r="I651" s="129">
        <v>1703.9</v>
      </c>
      <c r="J651" s="129">
        <v>1558.5</v>
      </c>
      <c r="K651" s="129">
        <v>1516.4</v>
      </c>
      <c r="L651" s="139">
        <v>58</v>
      </c>
      <c r="M651" s="138" t="s">
        <v>271</v>
      </c>
      <c r="N651" s="138" t="s">
        <v>275</v>
      </c>
      <c r="O651" s="136" t="s">
        <v>358</v>
      </c>
      <c r="P651" s="130">
        <v>120000.25</v>
      </c>
      <c r="Q651" s="130">
        <v>0</v>
      </c>
      <c r="R651" s="130">
        <v>0</v>
      </c>
      <c r="S651" s="130">
        <f t="shared" si="192"/>
        <v>120000.25</v>
      </c>
      <c r="T651" s="130">
        <f t="shared" si="193"/>
        <v>70.426814953929224</v>
      </c>
      <c r="U651" s="130">
        <v>70.426814953929224</v>
      </c>
    </row>
    <row r="652" spans="1:21" s="64" customFormat="1" ht="36" customHeight="1" x14ac:dyDescent="0.9">
      <c r="A652" s="64">
        <v>1</v>
      </c>
      <c r="B652" s="96">
        <f>SUBTOTAL(103,$A$561:A652)</f>
        <v>92</v>
      </c>
      <c r="C652" s="94" t="s">
        <v>626</v>
      </c>
      <c r="D652" s="138" t="s">
        <v>390</v>
      </c>
      <c r="E652" s="138"/>
      <c r="F652" s="167" t="s">
        <v>319</v>
      </c>
      <c r="G652" s="138" t="s">
        <v>361</v>
      </c>
      <c r="H652" s="138">
        <v>3</v>
      </c>
      <c r="I652" s="129">
        <v>2812.6</v>
      </c>
      <c r="J652" s="129">
        <v>1169.5</v>
      </c>
      <c r="K652" s="129">
        <v>1169.5</v>
      </c>
      <c r="L652" s="139">
        <v>91</v>
      </c>
      <c r="M652" s="138" t="s">
        <v>271</v>
      </c>
      <c r="N652" s="138" t="s">
        <v>275</v>
      </c>
      <c r="O652" s="136" t="s">
        <v>1047</v>
      </c>
      <c r="P652" s="130">
        <v>100000</v>
      </c>
      <c r="Q652" s="130">
        <v>0</v>
      </c>
      <c r="R652" s="130">
        <v>0</v>
      </c>
      <c r="S652" s="130">
        <f t="shared" si="192"/>
        <v>100000</v>
      </c>
      <c r="T652" s="130">
        <f t="shared" si="193"/>
        <v>35.554291402972339</v>
      </c>
      <c r="U652" s="130">
        <v>35.554291402972339</v>
      </c>
    </row>
    <row r="653" spans="1:21" s="64" customFormat="1" ht="36" customHeight="1" x14ac:dyDescent="0.9">
      <c r="A653" s="64">
        <v>1</v>
      </c>
      <c r="B653" s="96">
        <f>SUBTOTAL(103,$A$561:A653)</f>
        <v>93</v>
      </c>
      <c r="C653" s="94" t="s">
        <v>627</v>
      </c>
      <c r="D653" s="138">
        <v>1972</v>
      </c>
      <c r="E653" s="138"/>
      <c r="F653" s="167" t="s">
        <v>273</v>
      </c>
      <c r="G653" s="138">
        <v>9</v>
      </c>
      <c r="H653" s="138">
        <v>1</v>
      </c>
      <c r="I653" s="129">
        <v>1896.4</v>
      </c>
      <c r="J653" s="129">
        <v>1896.4</v>
      </c>
      <c r="K653" s="129">
        <v>1859.1</v>
      </c>
      <c r="L653" s="139">
        <v>135</v>
      </c>
      <c r="M653" s="138" t="s">
        <v>271</v>
      </c>
      <c r="N653" s="138" t="s">
        <v>275</v>
      </c>
      <c r="O653" s="136" t="s">
        <v>357</v>
      </c>
      <c r="P653" s="130">
        <v>100000</v>
      </c>
      <c r="Q653" s="130">
        <v>0</v>
      </c>
      <c r="R653" s="130">
        <v>0</v>
      </c>
      <c r="S653" s="130">
        <f t="shared" si="192"/>
        <v>100000</v>
      </c>
      <c r="T653" s="130">
        <f t="shared" si="193"/>
        <v>52.731491246572453</v>
      </c>
      <c r="U653" s="130">
        <v>52.731491246572453</v>
      </c>
    </row>
    <row r="654" spans="1:21" s="64" customFormat="1" ht="36" customHeight="1" x14ac:dyDescent="0.9">
      <c r="A654" s="64">
        <v>1</v>
      </c>
      <c r="B654" s="96">
        <f>SUBTOTAL(103,$A$561:A654)</f>
        <v>94</v>
      </c>
      <c r="C654" s="94" t="s">
        <v>628</v>
      </c>
      <c r="D654" s="138" t="s">
        <v>324</v>
      </c>
      <c r="E654" s="138"/>
      <c r="F654" s="167" t="s">
        <v>319</v>
      </c>
      <c r="G654" s="138" t="s">
        <v>361</v>
      </c>
      <c r="H654" s="138">
        <v>4</v>
      </c>
      <c r="I654" s="129">
        <v>3873.3</v>
      </c>
      <c r="J654" s="129">
        <v>3605.48</v>
      </c>
      <c r="K654" s="129">
        <v>3540.2</v>
      </c>
      <c r="L654" s="139">
        <v>165</v>
      </c>
      <c r="M654" s="138" t="s">
        <v>271</v>
      </c>
      <c r="N654" s="138" t="s">
        <v>275</v>
      </c>
      <c r="O654" s="136" t="s">
        <v>1035</v>
      </c>
      <c r="P654" s="130">
        <v>100000</v>
      </c>
      <c r="Q654" s="130">
        <v>0</v>
      </c>
      <c r="R654" s="130">
        <v>0</v>
      </c>
      <c r="S654" s="130">
        <f t="shared" si="192"/>
        <v>100000</v>
      </c>
      <c r="T654" s="130">
        <f t="shared" si="193"/>
        <v>25.817778122014818</v>
      </c>
      <c r="U654" s="130">
        <v>25.817778122014818</v>
      </c>
    </row>
    <row r="655" spans="1:21" s="64" customFormat="1" ht="36" customHeight="1" x14ac:dyDescent="0.9">
      <c r="A655" s="64">
        <v>1</v>
      </c>
      <c r="B655" s="96">
        <f>SUBTOTAL(103,$A$561:A655)</f>
        <v>95</v>
      </c>
      <c r="C655" s="94" t="s">
        <v>629</v>
      </c>
      <c r="D655" s="138" t="s">
        <v>391</v>
      </c>
      <c r="E655" s="138"/>
      <c r="F655" s="167" t="s">
        <v>319</v>
      </c>
      <c r="G655" s="138" t="s">
        <v>361</v>
      </c>
      <c r="H655" s="138">
        <v>4</v>
      </c>
      <c r="I655" s="129">
        <v>3881.3</v>
      </c>
      <c r="J655" s="129">
        <v>3615.9</v>
      </c>
      <c r="K655" s="129">
        <v>3551.2</v>
      </c>
      <c r="L655" s="139">
        <v>182</v>
      </c>
      <c r="M655" s="138" t="s">
        <v>271</v>
      </c>
      <c r="N655" s="138" t="s">
        <v>275</v>
      </c>
      <c r="O655" s="136" t="s">
        <v>1035</v>
      </c>
      <c r="P655" s="130">
        <v>100000</v>
      </c>
      <c r="Q655" s="130">
        <v>0</v>
      </c>
      <c r="R655" s="130">
        <v>0</v>
      </c>
      <c r="S655" s="130">
        <f t="shared" si="192"/>
        <v>100000</v>
      </c>
      <c r="T655" s="130">
        <f t="shared" si="193"/>
        <v>25.764563419472857</v>
      </c>
      <c r="U655" s="130">
        <v>25.764563419472857</v>
      </c>
    </row>
    <row r="656" spans="1:21" s="64" customFormat="1" ht="36" customHeight="1" x14ac:dyDescent="0.9">
      <c r="A656" s="64">
        <v>1</v>
      </c>
      <c r="B656" s="96">
        <f>SUBTOTAL(103,$A$561:A656)</f>
        <v>96</v>
      </c>
      <c r="C656" s="94" t="s">
        <v>630</v>
      </c>
      <c r="D656" s="138" t="s">
        <v>360</v>
      </c>
      <c r="E656" s="138"/>
      <c r="F656" s="167" t="s">
        <v>273</v>
      </c>
      <c r="G656" s="138" t="s">
        <v>367</v>
      </c>
      <c r="H656" s="138">
        <v>1</v>
      </c>
      <c r="I656" s="129">
        <v>2154.4</v>
      </c>
      <c r="J656" s="129">
        <v>1835.8</v>
      </c>
      <c r="K656" s="129">
        <v>1783.4</v>
      </c>
      <c r="L656" s="139">
        <v>76</v>
      </c>
      <c r="M656" s="138" t="s">
        <v>271</v>
      </c>
      <c r="N656" s="138" t="s">
        <v>275</v>
      </c>
      <c r="O656" s="136" t="s">
        <v>848</v>
      </c>
      <c r="P656" s="130">
        <v>100000</v>
      </c>
      <c r="Q656" s="130">
        <v>0</v>
      </c>
      <c r="R656" s="130">
        <v>0</v>
      </c>
      <c r="S656" s="130">
        <f t="shared" si="192"/>
        <v>100000</v>
      </c>
      <c r="T656" s="130">
        <f t="shared" si="193"/>
        <v>46.416635722242852</v>
      </c>
      <c r="U656" s="130">
        <v>46.416635722242852</v>
      </c>
    </row>
    <row r="657" spans="1:21" s="64" customFormat="1" ht="36" customHeight="1" x14ac:dyDescent="0.9">
      <c r="A657" s="64">
        <v>1</v>
      </c>
      <c r="B657" s="96">
        <f>SUBTOTAL(103,$A$561:A657)</f>
        <v>97</v>
      </c>
      <c r="C657" s="94" t="s">
        <v>631</v>
      </c>
      <c r="D657" s="138" t="s">
        <v>392</v>
      </c>
      <c r="E657" s="138"/>
      <c r="F657" s="167" t="s">
        <v>319</v>
      </c>
      <c r="G657" s="138" t="s">
        <v>361</v>
      </c>
      <c r="H657" s="138">
        <v>4</v>
      </c>
      <c r="I657" s="129">
        <v>3888.9</v>
      </c>
      <c r="J657" s="129">
        <v>3557.1</v>
      </c>
      <c r="K657" s="129">
        <v>3511.4</v>
      </c>
      <c r="L657" s="139">
        <v>169</v>
      </c>
      <c r="M657" s="138" t="s">
        <v>271</v>
      </c>
      <c r="N657" s="138" t="s">
        <v>275</v>
      </c>
      <c r="O657" s="136" t="s">
        <v>1035</v>
      </c>
      <c r="P657" s="130">
        <v>100000</v>
      </c>
      <c r="Q657" s="130">
        <v>0</v>
      </c>
      <c r="R657" s="130">
        <v>0</v>
      </c>
      <c r="S657" s="130">
        <f t="shared" si="192"/>
        <v>100000</v>
      </c>
      <c r="T657" s="130">
        <f t="shared" si="193"/>
        <v>25.71421224510787</v>
      </c>
      <c r="U657" s="130">
        <v>25.71421224510787</v>
      </c>
    </row>
    <row r="658" spans="1:21" s="64" customFormat="1" ht="36" customHeight="1" x14ac:dyDescent="0.9">
      <c r="A658" s="64">
        <v>1</v>
      </c>
      <c r="B658" s="96">
        <f>SUBTOTAL(103,$A$561:A658)</f>
        <v>98</v>
      </c>
      <c r="C658" s="94" t="s">
        <v>632</v>
      </c>
      <c r="D658" s="138" t="s">
        <v>392</v>
      </c>
      <c r="E658" s="138"/>
      <c r="F658" s="167" t="s">
        <v>319</v>
      </c>
      <c r="G658" s="138" t="s">
        <v>361</v>
      </c>
      <c r="H658" s="138">
        <v>4</v>
      </c>
      <c r="I658" s="129">
        <v>3854.3</v>
      </c>
      <c r="J658" s="129">
        <v>3599.34</v>
      </c>
      <c r="K658" s="129">
        <v>3550.2</v>
      </c>
      <c r="L658" s="139">
        <v>173</v>
      </c>
      <c r="M658" s="138" t="s">
        <v>271</v>
      </c>
      <c r="N658" s="138" t="s">
        <v>275</v>
      </c>
      <c r="O658" s="136" t="s">
        <v>1035</v>
      </c>
      <c r="P658" s="130">
        <v>100000</v>
      </c>
      <c r="Q658" s="130">
        <v>0</v>
      </c>
      <c r="R658" s="130">
        <v>0</v>
      </c>
      <c r="S658" s="130">
        <f t="shared" si="192"/>
        <v>100000</v>
      </c>
      <c r="T658" s="130">
        <f t="shared" si="193"/>
        <v>25.945048387515243</v>
      </c>
      <c r="U658" s="130">
        <v>25.945048387515243</v>
      </c>
    </row>
    <row r="659" spans="1:21" s="64" customFormat="1" ht="36" customHeight="1" x14ac:dyDescent="0.9">
      <c r="A659" s="64">
        <v>1</v>
      </c>
      <c r="B659" s="96">
        <f>SUBTOTAL(103,$A$561:A659)</f>
        <v>99</v>
      </c>
      <c r="C659" s="94" t="s">
        <v>633</v>
      </c>
      <c r="D659" s="138" t="s">
        <v>386</v>
      </c>
      <c r="E659" s="138"/>
      <c r="F659" s="167" t="s">
        <v>273</v>
      </c>
      <c r="G659" s="138" t="s">
        <v>361</v>
      </c>
      <c r="H659" s="138">
        <v>3</v>
      </c>
      <c r="I659" s="129">
        <v>2600.9</v>
      </c>
      <c r="J659" s="129">
        <v>2217.3000000000002</v>
      </c>
      <c r="K659" s="129">
        <v>2217.3000000000002</v>
      </c>
      <c r="L659" s="139">
        <v>72</v>
      </c>
      <c r="M659" s="138" t="s">
        <v>271</v>
      </c>
      <c r="N659" s="138" t="s">
        <v>275</v>
      </c>
      <c r="O659" s="136" t="s">
        <v>1039</v>
      </c>
      <c r="P659" s="130">
        <v>100000</v>
      </c>
      <c r="Q659" s="130">
        <v>0</v>
      </c>
      <c r="R659" s="130">
        <v>0</v>
      </c>
      <c r="S659" s="130">
        <f t="shared" si="192"/>
        <v>100000</v>
      </c>
      <c r="T659" s="130">
        <f t="shared" si="193"/>
        <v>38.448229459033413</v>
      </c>
      <c r="U659" s="130">
        <v>38.448229459033413</v>
      </c>
    </row>
    <row r="660" spans="1:21" s="64" customFormat="1" ht="36" customHeight="1" x14ac:dyDescent="0.9">
      <c r="A660" s="64">
        <v>1</v>
      </c>
      <c r="B660" s="96">
        <f>SUBTOTAL(103,$A$561:A660)</f>
        <v>100</v>
      </c>
      <c r="C660" s="94" t="s">
        <v>634</v>
      </c>
      <c r="D660" s="138" t="s">
        <v>381</v>
      </c>
      <c r="E660" s="138"/>
      <c r="F660" s="167" t="s">
        <v>273</v>
      </c>
      <c r="G660" s="138" t="s">
        <v>361</v>
      </c>
      <c r="H660" s="138">
        <v>1</v>
      </c>
      <c r="I660" s="129">
        <v>1129.8</v>
      </c>
      <c r="J660" s="129">
        <v>1033.3</v>
      </c>
      <c r="K660" s="129">
        <v>841.7</v>
      </c>
      <c r="L660" s="139">
        <v>41</v>
      </c>
      <c r="M660" s="138" t="s">
        <v>271</v>
      </c>
      <c r="N660" s="138" t="s">
        <v>275</v>
      </c>
      <c r="O660" s="136" t="s">
        <v>358</v>
      </c>
      <c r="P660" s="130">
        <v>70000</v>
      </c>
      <c r="Q660" s="130">
        <v>0</v>
      </c>
      <c r="R660" s="130">
        <v>0</v>
      </c>
      <c r="S660" s="130">
        <f t="shared" si="192"/>
        <v>70000</v>
      </c>
      <c r="T660" s="130">
        <f t="shared" si="193"/>
        <v>61.957868649318463</v>
      </c>
      <c r="U660" s="130">
        <v>61.957868649318463</v>
      </c>
    </row>
    <row r="661" spans="1:21" s="64" customFormat="1" ht="36" customHeight="1" x14ac:dyDescent="0.9">
      <c r="A661" s="64">
        <v>1</v>
      </c>
      <c r="B661" s="96">
        <f>SUBTOTAL(103,$A$561:A661)</f>
        <v>101</v>
      </c>
      <c r="C661" s="94" t="s">
        <v>635</v>
      </c>
      <c r="D661" s="138" t="s">
        <v>317</v>
      </c>
      <c r="E661" s="138"/>
      <c r="F661" s="167" t="s">
        <v>319</v>
      </c>
      <c r="G661" s="138" t="s">
        <v>361</v>
      </c>
      <c r="H661" s="138">
        <v>4</v>
      </c>
      <c r="I661" s="129">
        <v>4027.5</v>
      </c>
      <c r="J661" s="129">
        <v>3035.5</v>
      </c>
      <c r="K661" s="129">
        <v>3037.2</v>
      </c>
      <c r="L661" s="139">
        <v>135</v>
      </c>
      <c r="M661" s="138" t="s">
        <v>271</v>
      </c>
      <c r="N661" s="138" t="s">
        <v>275</v>
      </c>
      <c r="O661" s="136" t="s">
        <v>1036</v>
      </c>
      <c r="P661" s="130">
        <v>100000</v>
      </c>
      <c r="Q661" s="130">
        <v>0</v>
      </c>
      <c r="R661" s="130">
        <v>0</v>
      </c>
      <c r="S661" s="130">
        <f t="shared" si="192"/>
        <v>100000</v>
      </c>
      <c r="T661" s="130">
        <f t="shared" si="193"/>
        <v>24.829298572315331</v>
      </c>
      <c r="U661" s="130">
        <v>24.829298572315331</v>
      </c>
    </row>
    <row r="662" spans="1:21" s="64" customFormat="1" ht="36" customHeight="1" x14ac:dyDescent="0.9">
      <c r="A662" s="64">
        <v>1</v>
      </c>
      <c r="B662" s="96">
        <f>SUBTOTAL(103,$A$561:A662)</f>
        <v>102</v>
      </c>
      <c r="C662" s="94" t="s">
        <v>636</v>
      </c>
      <c r="D662" s="138" t="s">
        <v>317</v>
      </c>
      <c r="E662" s="138"/>
      <c r="F662" s="167" t="s">
        <v>319</v>
      </c>
      <c r="G662" s="138" t="s">
        <v>361</v>
      </c>
      <c r="H662" s="138">
        <v>4</v>
      </c>
      <c r="I662" s="129">
        <v>4003.9</v>
      </c>
      <c r="J662" s="129">
        <v>3006.9</v>
      </c>
      <c r="K662" s="129">
        <v>2831.8</v>
      </c>
      <c r="L662" s="139">
        <v>130</v>
      </c>
      <c r="M662" s="138" t="s">
        <v>271</v>
      </c>
      <c r="N662" s="138" t="s">
        <v>275</v>
      </c>
      <c r="O662" s="136" t="s">
        <v>1036</v>
      </c>
      <c r="P662" s="130">
        <v>100000</v>
      </c>
      <c r="Q662" s="130">
        <v>0</v>
      </c>
      <c r="R662" s="130">
        <v>0</v>
      </c>
      <c r="S662" s="130">
        <f t="shared" si="192"/>
        <v>100000</v>
      </c>
      <c r="T662" s="130">
        <f t="shared" si="193"/>
        <v>24.975648742476086</v>
      </c>
      <c r="U662" s="130">
        <v>24.975648742476086</v>
      </c>
    </row>
    <row r="663" spans="1:21" s="64" customFormat="1" ht="36" customHeight="1" x14ac:dyDescent="0.9">
      <c r="A663" s="64">
        <v>1</v>
      </c>
      <c r="B663" s="96">
        <f>SUBTOTAL(103,$A$561:A663)</f>
        <v>103</v>
      </c>
      <c r="C663" s="94" t="s">
        <v>637</v>
      </c>
      <c r="D663" s="138" t="s">
        <v>321</v>
      </c>
      <c r="E663" s="138"/>
      <c r="F663" s="167" t="s">
        <v>319</v>
      </c>
      <c r="G663" s="138" t="s">
        <v>367</v>
      </c>
      <c r="H663" s="138">
        <v>2</v>
      </c>
      <c r="I663" s="129">
        <v>4844.7</v>
      </c>
      <c r="J663" s="129">
        <v>3843.1</v>
      </c>
      <c r="K663" s="129">
        <v>3763.6</v>
      </c>
      <c r="L663" s="139">
        <v>150</v>
      </c>
      <c r="M663" s="138" t="s">
        <v>271</v>
      </c>
      <c r="N663" s="138" t="s">
        <v>275</v>
      </c>
      <c r="O663" s="136" t="s">
        <v>1036</v>
      </c>
      <c r="P663" s="130">
        <v>100000</v>
      </c>
      <c r="Q663" s="130">
        <v>0</v>
      </c>
      <c r="R663" s="130">
        <v>0</v>
      </c>
      <c r="S663" s="130">
        <f t="shared" si="192"/>
        <v>100000</v>
      </c>
      <c r="T663" s="130">
        <f t="shared" si="193"/>
        <v>20.641112968811278</v>
      </c>
      <c r="U663" s="130">
        <v>20.641112968811278</v>
      </c>
    </row>
    <row r="664" spans="1:21" s="64" customFormat="1" ht="36" customHeight="1" x14ac:dyDescent="0.9">
      <c r="A664" s="64">
        <v>1</v>
      </c>
      <c r="B664" s="96">
        <f>SUBTOTAL(103,$A$561:A664)</f>
        <v>104</v>
      </c>
      <c r="C664" s="94" t="s">
        <v>1459</v>
      </c>
      <c r="D664" s="138">
        <v>1976</v>
      </c>
      <c r="E664" s="138"/>
      <c r="F664" s="167" t="s">
        <v>273</v>
      </c>
      <c r="G664" s="138">
        <v>5</v>
      </c>
      <c r="H664" s="138">
        <v>10</v>
      </c>
      <c r="I664" s="129">
        <v>8213.9</v>
      </c>
      <c r="J664" s="129">
        <v>7350.9</v>
      </c>
      <c r="K664" s="129">
        <v>6661.1</v>
      </c>
      <c r="L664" s="139">
        <v>418</v>
      </c>
      <c r="M664" s="138" t="s">
        <v>271</v>
      </c>
      <c r="N664" s="138" t="s">
        <v>275</v>
      </c>
      <c r="O664" s="136" t="s">
        <v>1476</v>
      </c>
      <c r="P664" s="130">
        <v>163844.70000000001</v>
      </c>
      <c r="Q664" s="130">
        <v>0</v>
      </c>
      <c r="R664" s="130">
        <v>0</v>
      </c>
      <c r="S664" s="130">
        <f t="shared" si="192"/>
        <v>163844.70000000001</v>
      </c>
      <c r="T664" s="130">
        <f t="shared" si="193"/>
        <v>19.947247957730191</v>
      </c>
      <c r="U664" s="130">
        <v>19.947247957730191</v>
      </c>
    </row>
    <row r="665" spans="1:21" s="64" customFormat="1" ht="36" customHeight="1" x14ac:dyDescent="0.9">
      <c r="A665" s="64">
        <v>1</v>
      </c>
      <c r="B665" s="96">
        <f>SUBTOTAL(103,$A$561:A665)</f>
        <v>105</v>
      </c>
      <c r="C665" s="94" t="s">
        <v>638</v>
      </c>
      <c r="D665" s="138" t="s">
        <v>337</v>
      </c>
      <c r="E665" s="138"/>
      <c r="F665" s="167" t="s">
        <v>273</v>
      </c>
      <c r="G665" s="138" t="s">
        <v>376</v>
      </c>
      <c r="H665" s="138">
        <v>3</v>
      </c>
      <c r="I665" s="129">
        <v>3521.2</v>
      </c>
      <c r="J665" s="129">
        <v>3000</v>
      </c>
      <c r="K665" s="129">
        <v>2890.8</v>
      </c>
      <c r="L665" s="139">
        <v>100</v>
      </c>
      <c r="M665" s="138" t="s">
        <v>271</v>
      </c>
      <c r="N665" s="138" t="s">
        <v>303</v>
      </c>
      <c r="O665" s="136" t="s">
        <v>393</v>
      </c>
      <c r="P665" s="130">
        <v>150000</v>
      </c>
      <c r="Q665" s="130">
        <v>0</v>
      </c>
      <c r="R665" s="130">
        <v>0</v>
      </c>
      <c r="S665" s="130">
        <f t="shared" si="192"/>
        <v>150000</v>
      </c>
      <c r="T665" s="130">
        <f t="shared" si="193"/>
        <v>42.599113938430079</v>
      </c>
      <c r="U665" s="130">
        <v>42.599113938430079</v>
      </c>
    </row>
    <row r="666" spans="1:21" s="64" customFormat="1" ht="36" customHeight="1" x14ac:dyDescent="0.9">
      <c r="A666" s="64">
        <v>1</v>
      </c>
      <c r="B666" s="96">
        <f>SUBTOTAL(103,$A$561:A666)</f>
        <v>106</v>
      </c>
      <c r="C666" s="94" t="s">
        <v>639</v>
      </c>
      <c r="D666" s="138" t="s">
        <v>331</v>
      </c>
      <c r="E666" s="138"/>
      <c r="F666" s="167" t="s">
        <v>319</v>
      </c>
      <c r="G666" s="138" t="s">
        <v>361</v>
      </c>
      <c r="H666" s="138">
        <v>4</v>
      </c>
      <c r="I666" s="129">
        <v>4258.1000000000004</v>
      </c>
      <c r="J666" s="129">
        <v>3136.3</v>
      </c>
      <c r="K666" s="129">
        <v>1795.5</v>
      </c>
      <c r="L666" s="139">
        <v>159</v>
      </c>
      <c r="M666" s="138" t="s">
        <v>271</v>
      </c>
      <c r="N666" s="138" t="s">
        <v>275</v>
      </c>
      <c r="O666" s="136" t="s">
        <v>1061</v>
      </c>
      <c r="P666" s="130">
        <v>100000</v>
      </c>
      <c r="Q666" s="130">
        <v>0</v>
      </c>
      <c r="R666" s="130">
        <v>0</v>
      </c>
      <c r="S666" s="130">
        <f t="shared" si="192"/>
        <v>100000</v>
      </c>
      <c r="T666" s="130">
        <f t="shared" si="193"/>
        <v>23.484652779408655</v>
      </c>
      <c r="U666" s="130">
        <v>23.484652779408655</v>
      </c>
    </row>
    <row r="667" spans="1:21" s="64" customFormat="1" ht="36" customHeight="1" x14ac:dyDescent="0.9">
      <c r="A667" s="64">
        <v>1</v>
      </c>
      <c r="B667" s="96">
        <f>SUBTOTAL(103,$A$561:A667)</f>
        <v>107</v>
      </c>
      <c r="C667" s="94" t="s">
        <v>640</v>
      </c>
      <c r="D667" s="138" t="s">
        <v>394</v>
      </c>
      <c r="E667" s="138"/>
      <c r="F667" s="167" t="s">
        <v>319</v>
      </c>
      <c r="G667" s="138" t="s">
        <v>361</v>
      </c>
      <c r="H667" s="138">
        <v>5</v>
      </c>
      <c r="I667" s="129">
        <v>7097.9</v>
      </c>
      <c r="J667" s="129">
        <v>6283.6</v>
      </c>
      <c r="K667" s="129">
        <v>3449.7</v>
      </c>
      <c r="L667" s="139">
        <v>347</v>
      </c>
      <c r="M667" s="138" t="s">
        <v>271</v>
      </c>
      <c r="N667" s="138" t="s">
        <v>275</v>
      </c>
      <c r="O667" s="136" t="s">
        <v>1062</v>
      </c>
      <c r="P667" s="130">
        <v>100000</v>
      </c>
      <c r="Q667" s="130">
        <v>0</v>
      </c>
      <c r="R667" s="130">
        <v>0</v>
      </c>
      <c r="S667" s="130">
        <f t="shared" si="192"/>
        <v>100000</v>
      </c>
      <c r="T667" s="130">
        <f t="shared" si="193"/>
        <v>14.08867411487905</v>
      </c>
      <c r="U667" s="130">
        <v>14.08867411487905</v>
      </c>
    </row>
    <row r="668" spans="1:21" s="64" customFormat="1" ht="36" customHeight="1" x14ac:dyDescent="0.9">
      <c r="A668" s="64">
        <v>1</v>
      </c>
      <c r="B668" s="96">
        <f>SUBTOTAL(103,$A$561:A668)</f>
        <v>108</v>
      </c>
      <c r="C668" s="94" t="s">
        <v>641</v>
      </c>
      <c r="D668" s="138">
        <v>1981</v>
      </c>
      <c r="E668" s="138"/>
      <c r="F668" s="167" t="s">
        <v>273</v>
      </c>
      <c r="G668" s="138">
        <v>2</v>
      </c>
      <c r="H668" s="138">
        <v>3</v>
      </c>
      <c r="I668" s="129">
        <v>940.2</v>
      </c>
      <c r="J668" s="129">
        <v>850.3</v>
      </c>
      <c r="K668" s="129">
        <v>850.3</v>
      </c>
      <c r="L668" s="139">
        <v>29</v>
      </c>
      <c r="M668" s="138" t="s">
        <v>271</v>
      </c>
      <c r="N668" s="138" t="s">
        <v>275</v>
      </c>
      <c r="O668" s="136" t="s">
        <v>1148</v>
      </c>
      <c r="P668" s="130">
        <v>100000</v>
      </c>
      <c r="Q668" s="130">
        <v>0</v>
      </c>
      <c r="R668" s="130">
        <v>0</v>
      </c>
      <c r="S668" s="130">
        <f t="shared" si="192"/>
        <v>100000</v>
      </c>
      <c r="T668" s="130">
        <f t="shared" si="193"/>
        <v>106.36034886194426</v>
      </c>
      <c r="U668" s="130">
        <v>106.36034886194426</v>
      </c>
    </row>
    <row r="669" spans="1:21" s="64" customFormat="1" ht="36" customHeight="1" x14ac:dyDescent="0.9">
      <c r="A669" s="64">
        <v>1</v>
      </c>
      <c r="B669" s="96">
        <f>SUBTOTAL(103,$A$561:A669)</f>
        <v>109</v>
      </c>
      <c r="C669" s="94" t="s">
        <v>642</v>
      </c>
      <c r="D669" s="138">
        <v>1994</v>
      </c>
      <c r="E669" s="138"/>
      <c r="F669" s="167" t="s">
        <v>273</v>
      </c>
      <c r="G669" s="138">
        <v>3</v>
      </c>
      <c r="H669" s="138">
        <v>2</v>
      </c>
      <c r="I669" s="129">
        <v>1489.9</v>
      </c>
      <c r="J669" s="129">
        <v>1353.2</v>
      </c>
      <c r="K669" s="129">
        <v>1353.2</v>
      </c>
      <c r="L669" s="139">
        <v>72</v>
      </c>
      <c r="M669" s="138" t="s">
        <v>271</v>
      </c>
      <c r="N669" s="138" t="s">
        <v>275</v>
      </c>
      <c r="O669" s="136" t="s">
        <v>1148</v>
      </c>
      <c r="P669" s="130">
        <v>100000</v>
      </c>
      <c r="Q669" s="130">
        <v>0</v>
      </c>
      <c r="R669" s="130">
        <v>0</v>
      </c>
      <c r="S669" s="130">
        <f t="shared" si="192"/>
        <v>100000</v>
      </c>
      <c r="T669" s="130">
        <f t="shared" si="193"/>
        <v>67.11859856366199</v>
      </c>
      <c r="U669" s="130">
        <v>67.11859856366199</v>
      </c>
    </row>
    <row r="670" spans="1:21" s="64" customFormat="1" ht="36" customHeight="1" x14ac:dyDescent="0.9">
      <c r="A670" s="64">
        <v>1</v>
      </c>
      <c r="B670" s="96">
        <f>SUBTOTAL(103,$A$561:A670)</f>
        <v>110</v>
      </c>
      <c r="C670" s="94" t="s">
        <v>643</v>
      </c>
      <c r="D670" s="138" t="s">
        <v>360</v>
      </c>
      <c r="E670" s="138"/>
      <c r="F670" s="167" t="s">
        <v>319</v>
      </c>
      <c r="G670" s="138" t="s">
        <v>361</v>
      </c>
      <c r="H670" s="138">
        <v>4</v>
      </c>
      <c r="I670" s="129">
        <v>4064.4</v>
      </c>
      <c r="J670" s="129">
        <v>3058.6</v>
      </c>
      <c r="K670" s="129">
        <v>2912</v>
      </c>
      <c r="L670" s="139">
        <v>130</v>
      </c>
      <c r="M670" s="138" t="s">
        <v>271</v>
      </c>
      <c r="N670" s="138" t="s">
        <v>275</v>
      </c>
      <c r="O670" s="136" t="s">
        <v>1036</v>
      </c>
      <c r="P670" s="130">
        <v>100000</v>
      </c>
      <c r="Q670" s="130">
        <v>0</v>
      </c>
      <c r="R670" s="130">
        <v>0</v>
      </c>
      <c r="S670" s="130">
        <f t="shared" si="192"/>
        <v>100000</v>
      </c>
      <c r="T670" s="130">
        <f t="shared" si="193"/>
        <v>24.603877571105205</v>
      </c>
      <c r="U670" s="130">
        <v>24.603877571105205</v>
      </c>
    </row>
    <row r="671" spans="1:21" s="64" customFormat="1" ht="36" customHeight="1" x14ac:dyDescent="0.9">
      <c r="A671" s="64">
        <v>1</v>
      </c>
      <c r="B671" s="96">
        <f>SUBTOTAL(103,$A$561:A671)</f>
        <v>111</v>
      </c>
      <c r="C671" s="94" t="s">
        <v>644</v>
      </c>
      <c r="D671" s="138" t="s">
        <v>382</v>
      </c>
      <c r="E671" s="138"/>
      <c r="F671" s="167" t="s">
        <v>319</v>
      </c>
      <c r="G671" s="138" t="s">
        <v>361</v>
      </c>
      <c r="H671" s="138">
        <v>5</v>
      </c>
      <c r="I671" s="129">
        <v>5067.1000000000004</v>
      </c>
      <c r="J671" s="129">
        <v>3815.6</v>
      </c>
      <c r="K671" s="129">
        <v>3768.9</v>
      </c>
      <c r="L671" s="139">
        <v>158</v>
      </c>
      <c r="M671" s="138" t="s">
        <v>271</v>
      </c>
      <c r="N671" s="138" t="s">
        <v>275</v>
      </c>
      <c r="O671" s="136" t="s">
        <v>1036</v>
      </c>
      <c r="P671" s="130">
        <v>100000</v>
      </c>
      <c r="Q671" s="130">
        <v>0</v>
      </c>
      <c r="R671" s="130">
        <v>0</v>
      </c>
      <c r="S671" s="130">
        <f t="shared" si="192"/>
        <v>100000</v>
      </c>
      <c r="T671" s="130">
        <f t="shared" si="193"/>
        <v>19.735154230230307</v>
      </c>
      <c r="U671" s="130">
        <v>19.735154230230307</v>
      </c>
    </row>
    <row r="672" spans="1:21" s="64" customFormat="1" ht="36" customHeight="1" x14ac:dyDescent="0.9">
      <c r="A672" s="64">
        <v>1</v>
      </c>
      <c r="B672" s="96">
        <f>SUBTOTAL(103,$A$561:A672)</f>
        <v>112</v>
      </c>
      <c r="C672" s="94" t="s">
        <v>515</v>
      </c>
      <c r="D672" s="138">
        <v>1995</v>
      </c>
      <c r="E672" s="138"/>
      <c r="F672" s="167" t="s">
        <v>273</v>
      </c>
      <c r="G672" s="138">
        <v>9</v>
      </c>
      <c r="H672" s="138">
        <v>1</v>
      </c>
      <c r="I672" s="129">
        <v>6176.6</v>
      </c>
      <c r="J672" s="129">
        <v>4705.1000000000004</v>
      </c>
      <c r="K672" s="129">
        <v>4212.5</v>
      </c>
      <c r="L672" s="139">
        <v>299</v>
      </c>
      <c r="M672" s="138" t="s">
        <v>271</v>
      </c>
      <c r="N672" s="138" t="s">
        <v>275</v>
      </c>
      <c r="O672" s="136" t="s">
        <v>1035</v>
      </c>
      <c r="P672" s="130">
        <v>80000</v>
      </c>
      <c r="Q672" s="130">
        <v>0</v>
      </c>
      <c r="R672" s="130">
        <v>0</v>
      </c>
      <c r="S672" s="130">
        <f t="shared" si="192"/>
        <v>80000</v>
      </c>
      <c r="T672" s="130">
        <f t="shared" si="193"/>
        <v>12.952109574847002</v>
      </c>
      <c r="U672" s="130">
        <v>12.952109574847002</v>
      </c>
    </row>
    <row r="673" spans="1:21" s="64" customFormat="1" ht="36" customHeight="1" x14ac:dyDescent="0.9">
      <c r="A673" s="64">
        <v>1</v>
      </c>
      <c r="B673" s="96">
        <f>SUBTOTAL(103,$A$561:A673)</f>
        <v>113</v>
      </c>
      <c r="C673" s="94" t="s">
        <v>1134</v>
      </c>
      <c r="D673" s="138">
        <v>1990</v>
      </c>
      <c r="E673" s="138"/>
      <c r="F673" s="167" t="s">
        <v>273</v>
      </c>
      <c r="G673" s="138">
        <v>9</v>
      </c>
      <c r="H673" s="138">
        <v>4</v>
      </c>
      <c r="I673" s="129">
        <v>11085.8</v>
      </c>
      <c r="J673" s="129">
        <v>9319.2999999999993</v>
      </c>
      <c r="K673" s="129">
        <v>5667.8</v>
      </c>
      <c r="L673" s="139">
        <v>446</v>
      </c>
      <c r="M673" s="138" t="s">
        <v>271</v>
      </c>
      <c r="N673" s="138" t="s">
        <v>275</v>
      </c>
      <c r="O673" s="136" t="s">
        <v>1141</v>
      </c>
      <c r="P673" s="130">
        <v>100000</v>
      </c>
      <c r="Q673" s="130">
        <v>0</v>
      </c>
      <c r="R673" s="130">
        <v>0</v>
      </c>
      <c r="S673" s="130">
        <f t="shared" si="192"/>
        <v>100000</v>
      </c>
      <c r="T673" s="130">
        <f t="shared" si="193"/>
        <v>9.020548810189613</v>
      </c>
      <c r="U673" s="130">
        <v>9.020548810189613</v>
      </c>
    </row>
    <row r="674" spans="1:21" s="64" customFormat="1" ht="36" customHeight="1" x14ac:dyDescent="0.9">
      <c r="B674" s="94" t="s">
        <v>799</v>
      </c>
      <c r="C674" s="126"/>
      <c r="D674" s="138" t="s">
        <v>934</v>
      </c>
      <c r="E674" s="138" t="s">
        <v>934</v>
      </c>
      <c r="F674" s="138" t="s">
        <v>934</v>
      </c>
      <c r="G674" s="138" t="s">
        <v>934</v>
      </c>
      <c r="H674" s="138" t="s">
        <v>934</v>
      </c>
      <c r="I674" s="129">
        <f>SUM(I675:I688)</f>
        <v>21093.399999999998</v>
      </c>
      <c r="J674" s="129">
        <f t="shared" ref="J674:L674" si="194">SUM(J675:J688)</f>
        <v>19567.100000000002</v>
      </c>
      <c r="K674" s="129">
        <f t="shared" si="194"/>
        <v>15971.400000000001</v>
      </c>
      <c r="L674" s="139">
        <f t="shared" si="194"/>
        <v>882</v>
      </c>
      <c r="M674" s="138" t="s">
        <v>934</v>
      </c>
      <c r="N674" s="138" t="s">
        <v>934</v>
      </c>
      <c r="O674" s="136" t="s">
        <v>934</v>
      </c>
      <c r="P674" s="129">
        <v>53022412.590000004</v>
      </c>
      <c r="Q674" s="129">
        <f t="shared" ref="Q674:S674" si="195">SUM(Q675:Q688)</f>
        <v>0</v>
      </c>
      <c r="R674" s="129">
        <f t="shared" si="195"/>
        <v>0</v>
      </c>
      <c r="S674" s="129">
        <f t="shared" si="195"/>
        <v>53022412.590000004</v>
      </c>
      <c r="T674" s="130">
        <f t="shared" si="193"/>
        <v>2513.696824125082</v>
      </c>
      <c r="U674" s="130">
        <f>MAX(U675:U688)</f>
        <v>7530.1173062164244</v>
      </c>
    </row>
    <row r="675" spans="1:21" s="64" customFormat="1" ht="36" customHeight="1" x14ac:dyDescent="0.9">
      <c r="A675" s="64">
        <v>1</v>
      </c>
      <c r="B675" s="96">
        <f>SUBTOTAL(103,$A$561:A675)</f>
        <v>114</v>
      </c>
      <c r="C675" s="94" t="s">
        <v>473</v>
      </c>
      <c r="D675" s="138">
        <v>1992</v>
      </c>
      <c r="E675" s="138">
        <v>2010</v>
      </c>
      <c r="F675" s="167" t="s">
        <v>319</v>
      </c>
      <c r="G675" s="138">
        <v>5</v>
      </c>
      <c r="H675" s="138">
        <v>3</v>
      </c>
      <c r="I675" s="129">
        <v>3155.4</v>
      </c>
      <c r="J675" s="129">
        <v>3036.1</v>
      </c>
      <c r="K675" s="129">
        <v>1317.1</v>
      </c>
      <c r="L675" s="139">
        <v>153</v>
      </c>
      <c r="M675" s="138" t="s">
        <v>271</v>
      </c>
      <c r="N675" s="138" t="s">
        <v>303</v>
      </c>
      <c r="O675" s="136" t="s">
        <v>350</v>
      </c>
      <c r="P675" s="130">
        <v>4823597.0600000005</v>
      </c>
      <c r="Q675" s="130">
        <v>0</v>
      </c>
      <c r="R675" s="130">
        <v>0</v>
      </c>
      <c r="S675" s="130">
        <f t="shared" ref="S675:S684" si="196">P675-Q675-R675</f>
        <v>4823597.0600000005</v>
      </c>
      <c r="T675" s="130">
        <f t="shared" si="193"/>
        <v>1528.680059580402</v>
      </c>
      <c r="U675" s="130">
        <v>1528.680059580402</v>
      </c>
    </row>
    <row r="676" spans="1:21" s="64" customFormat="1" ht="36" customHeight="1" x14ac:dyDescent="0.9">
      <c r="A676" s="64">
        <v>1</v>
      </c>
      <c r="B676" s="96">
        <f>SUBTOTAL(103,$A$561:A676)</f>
        <v>115</v>
      </c>
      <c r="C676" s="94" t="s">
        <v>474</v>
      </c>
      <c r="D676" s="138">
        <v>1960</v>
      </c>
      <c r="E676" s="138"/>
      <c r="F676" s="167" t="s">
        <v>273</v>
      </c>
      <c r="G676" s="138">
        <v>2</v>
      </c>
      <c r="H676" s="138">
        <v>2</v>
      </c>
      <c r="I676" s="129">
        <v>683.2</v>
      </c>
      <c r="J676" s="129">
        <v>634.6</v>
      </c>
      <c r="K676" s="129">
        <v>388.3</v>
      </c>
      <c r="L676" s="139">
        <v>26</v>
      </c>
      <c r="M676" s="138" t="s">
        <v>271</v>
      </c>
      <c r="N676" s="138" t="s">
        <v>272</v>
      </c>
      <c r="O676" s="136" t="s">
        <v>274</v>
      </c>
      <c r="P676" s="130">
        <v>3616357.54</v>
      </c>
      <c r="Q676" s="130">
        <v>0</v>
      </c>
      <c r="R676" s="130">
        <v>0</v>
      </c>
      <c r="S676" s="130">
        <f t="shared" si="196"/>
        <v>3616357.54</v>
      </c>
      <c r="T676" s="130">
        <f t="shared" si="193"/>
        <v>5293.2633782201401</v>
      </c>
      <c r="U676" s="130">
        <v>5494.1834221311474</v>
      </c>
    </row>
    <row r="677" spans="1:21" s="64" customFormat="1" ht="36" customHeight="1" x14ac:dyDescent="0.9">
      <c r="A677" s="64">
        <v>1</v>
      </c>
      <c r="B677" s="96">
        <f>SUBTOTAL(103,$A$561:A677)</f>
        <v>116</v>
      </c>
      <c r="C677" s="94" t="s">
        <v>475</v>
      </c>
      <c r="D677" s="138">
        <v>1952</v>
      </c>
      <c r="E677" s="138">
        <v>2008</v>
      </c>
      <c r="F677" s="167" t="s">
        <v>273</v>
      </c>
      <c r="G677" s="138">
        <v>2</v>
      </c>
      <c r="H677" s="138">
        <v>1</v>
      </c>
      <c r="I677" s="129">
        <v>427.8</v>
      </c>
      <c r="J677" s="129">
        <v>392.1</v>
      </c>
      <c r="K677" s="129">
        <v>345.2</v>
      </c>
      <c r="L677" s="139">
        <v>21</v>
      </c>
      <c r="M677" s="138" t="s">
        <v>271</v>
      </c>
      <c r="N677" s="138" t="s">
        <v>275</v>
      </c>
      <c r="O677" s="136" t="s">
        <v>348</v>
      </c>
      <c r="P677" s="130">
        <v>1638422.64</v>
      </c>
      <c r="Q677" s="130">
        <v>0</v>
      </c>
      <c r="R677" s="130">
        <v>0</v>
      </c>
      <c r="S677" s="130">
        <f t="shared" si="196"/>
        <v>1638422.64</v>
      </c>
      <c r="T677" s="130">
        <f t="shared" si="193"/>
        <v>3829.8799438990177</v>
      </c>
      <c r="U677" s="130">
        <v>7376.9495876577839</v>
      </c>
    </row>
    <row r="678" spans="1:21" s="64" customFormat="1" ht="36" customHeight="1" x14ac:dyDescent="0.9">
      <c r="A678" s="64">
        <v>1</v>
      </c>
      <c r="B678" s="96">
        <f>SUBTOTAL(103,$A$561:A678)</f>
        <v>117</v>
      </c>
      <c r="C678" s="94" t="s">
        <v>476</v>
      </c>
      <c r="D678" s="138">
        <v>1963</v>
      </c>
      <c r="E678" s="138"/>
      <c r="F678" s="167" t="s">
        <v>273</v>
      </c>
      <c r="G678" s="138">
        <v>4</v>
      </c>
      <c r="H678" s="138">
        <v>3</v>
      </c>
      <c r="I678" s="129">
        <v>2171.1999999999998</v>
      </c>
      <c r="J678" s="129">
        <v>2025.5</v>
      </c>
      <c r="K678" s="129">
        <v>1927.8</v>
      </c>
      <c r="L678" s="139">
        <v>84</v>
      </c>
      <c r="M678" s="138" t="s">
        <v>271</v>
      </c>
      <c r="N678" s="138" t="s">
        <v>272</v>
      </c>
      <c r="O678" s="136" t="s">
        <v>274</v>
      </c>
      <c r="P678" s="130">
        <v>4857938</v>
      </c>
      <c r="Q678" s="130">
        <v>0</v>
      </c>
      <c r="R678" s="130">
        <v>0</v>
      </c>
      <c r="S678" s="130">
        <f t="shared" si="196"/>
        <v>4857938</v>
      </c>
      <c r="T678" s="130">
        <f t="shared" si="193"/>
        <v>2237.4438098747237</v>
      </c>
      <c r="U678" s="130">
        <v>2466.9664517317615</v>
      </c>
    </row>
    <row r="679" spans="1:21" s="64" customFormat="1" ht="36" customHeight="1" x14ac:dyDescent="0.9">
      <c r="A679" s="64">
        <v>1</v>
      </c>
      <c r="B679" s="96">
        <f>SUBTOTAL(103,$A$561:A679)</f>
        <v>118</v>
      </c>
      <c r="C679" s="94" t="s">
        <v>477</v>
      </c>
      <c r="D679" s="138">
        <v>1959</v>
      </c>
      <c r="E679" s="138"/>
      <c r="F679" s="167" t="s">
        <v>273</v>
      </c>
      <c r="G679" s="138">
        <v>2</v>
      </c>
      <c r="H679" s="138">
        <v>2</v>
      </c>
      <c r="I679" s="129">
        <v>678.8</v>
      </c>
      <c r="J679" s="129">
        <v>632.4</v>
      </c>
      <c r="K679" s="129">
        <v>632.4</v>
      </c>
      <c r="L679" s="139">
        <v>42</v>
      </c>
      <c r="M679" s="138" t="s">
        <v>271</v>
      </c>
      <c r="N679" s="138" t="s">
        <v>272</v>
      </c>
      <c r="O679" s="136" t="s">
        <v>274</v>
      </c>
      <c r="P679" s="130">
        <v>3345121.12</v>
      </c>
      <c r="Q679" s="130">
        <v>0</v>
      </c>
      <c r="R679" s="130">
        <v>0</v>
      </c>
      <c r="S679" s="130">
        <f t="shared" si="196"/>
        <v>3345121.12</v>
      </c>
      <c r="T679" s="130">
        <f t="shared" si="193"/>
        <v>4927.9922215674724</v>
      </c>
      <c r="U679" s="130">
        <v>5379.2837949322338</v>
      </c>
    </row>
    <row r="680" spans="1:21" s="64" customFormat="1" ht="36" customHeight="1" x14ac:dyDescent="0.9">
      <c r="A680" s="64">
        <v>1</v>
      </c>
      <c r="B680" s="96">
        <f>SUBTOTAL(103,$A$561:A680)</f>
        <v>119</v>
      </c>
      <c r="C680" s="94" t="s">
        <v>478</v>
      </c>
      <c r="D680" s="138">
        <v>1959</v>
      </c>
      <c r="E680" s="138"/>
      <c r="F680" s="167" t="s">
        <v>273</v>
      </c>
      <c r="G680" s="138">
        <v>2</v>
      </c>
      <c r="H680" s="138">
        <v>2</v>
      </c>
      <c r="I680" s="129">
        <v>691.7</v>
      </c>
      <c r="J680" s="129">
        <v>645.29999999999995</v>
      </c>
      <c r="K680" s="129">
        <v>563.5</v>
      </c>
      <c r="L680" s="139">
        <v>28</v>
      </c>
      <c r="M680" s="138" t="s">
        <v>271</v>
      </c>
      <c r="N680" s="138" t="s">
        <v>272</v>
      </c>
      <c r="O680" s="136" t="s">
        <v>274</v>
      </c>
      <c r="P680" s="130">
        <v>3345121.12</v>
      </c>
      <c r="Q680" s="130">
        <v>0</v>
      </c>
      <c r="R680" s="130">
        <v>0</v>
      </c>
      <c r="S680" s="130">
        <f t="shared" si="196"/>
        <v>3345121.12</v>
      </c>
      <c r="T680" s="130">
        <f t="shared" si="193"/>
        <v>4836.0866271504983</v>
      </c>
      <c r="U680" s="130">
        <v>5278.9617464218591</v>
      </c>
    </row>
    <row r="681" spans="1:21" s="64" customFormat="1" ht="36" customHeight="1" x14ac:dyDescent="0.9">
      <c r="A681" s="64">
        <v>1</v>
      </c>
      <c r="B681" s="96">
        <f>SUBTOTAL(103,$A$561:A681)</f>
        <v>120</v>
      </c>
      <c r="C681" s="94" t="s">
        <v>479</v>
      </c>
      <c r="D681" s="138">
        <v>1972</v>
      </c>
      <c r="E681" s="138"/>
      <c r="F681" s="167" t="s">
        <v>273</v>
      </c>
      <c r="G681" s="138">
        <v>2</v>
      </c>
      <c r="H681" s="138">
        <v>2</v>
      </c>
      <c r="I681" s="129">
        <v>795.2</v>
      </c>
      <c r="J681" s="129">
        <v>734.3</v>
      </c>
      <c r="K681" s="129">
        <v>469.2</v>
      </c>
      <c r="L681" s="139">
        <v>34</v>
      </c>
      <c r="M681" s="138" t="s">
        <v>271</v>
      </c>
      <c r="N681" s="138" t="s">
        <v>272</v>
      </c>
      <c r="O681" s="136" t="s">
        <v>274</v>
      </c>
      <c r="P681" s="130">
        <v>3589208.68</v>
      </c>
      <c r="Q681" s="130">
        <v>0</v>
      </c>
      <c r="R681" s="130">
        <v>0</v>
      </c>
      <c r="S681" s="130">
        <f t="shared" si="196"/>
        <v>3589208.68</v>
      </c>
      <c r="T681" s="130">
        <f t="shared" si="193"/>
        <v>4513.5924044265594</v>
      </c>
      <c r="U681" s="130">
        <v>5498.3884436619719</v>
      </c>
    </row>
    <row r="682" spans="1:21" s="64" customFormat="1" ht="36" customHeight="1" x14ac:dyDescent="0.9">
      <c r="A682" s="64">
        <v>1</v>
      </c>
      <c r="B682" s="96">
        <f>SUBTOTAL(103,$A$561:A682)</f>
        <v>121</v>
      </c>
      <c r="C682" s="94" t="s">
        <v>480</v>
      </c>
      <c r="D682" s="138">
        <v>1954</v>
      </c>
      <c r="E682" s="138"/>
      <c r="F682" s="167" t="s">
        <v>332</v>
      </c>
      <c r="G682" s="138">
        <v>2</v>
      </c>
      <c r="H682" s="138">
        <v>2</v>
      </c>
      <c r="I682" s="129">
        <v>390.9</v>
      </c>
      <c r="J682" s="129">
        <v>360.1</v>
      </c>
      <c r="K682" s="129">
        <v>360.1</v>
      </c>
      <c r="L682" s="139">
        <v>15</v>
      </c>
      <c r="M682" s="138" t="s">
        <v>271</v>
      </c>
      <c r="N682" s="138" t="s">
        <v>272</v>
      </c>
      <c r="O682" s="136" t="s">
        <v>274</v>
      </c>
      <c r="P682" s="130">
        <v>998954.77999999991</v>
      </c>
      <c r="Q682" s="130">
        <v>0</v>
      </c>
      <c r="R682" s="130">
        <v>0</v>
      </c>
      <c r="S682" s="130">
        <f t="shared" si="196"/>
        <v>998954.77999999991</v>
      </c>
      <c r="T682" s="130">
        <f t="shared" si="193"/>
        <v>2555.525147096444</v>
      </c>
      <c r="U682" s="130">
        <v>7530.1173062164244</v>
      </c>
    </row>
    <row r="683" spans="1:21" s="64" customFormat="1" ht="36" customHeight="1" x14ac:dyDescent="0.9">
      <c r="A683" s="64">
        <v>1</v>
      </c>
      <c r="B683" s="96">
        <f>SUBTOTAL(103,$A$561:A683)</f>
        <v>122</v>
      </c>
      <c r="C683" s="94" t="s">
        <v>483</v>
      </c>
      <c r="D683" s="138">
        <v>1957</v>
      </c>
      <c r="E683" s="138">
        <v>2010</v>
      </c>
      <c r="F683" s="167" t="s">
        <v>273</v>
      </c>
      <c r="G683" s="138">
        <v>2</v>
      </c>
      <c r="H683" s="138">
        <v>2</v>
      </c>
      <c r="I683" s="129">
        <v>809.2</v>
      </c>
      <c r="J683" s="129">
        <v>720</v>
      </c>
      <c r="K683" s="129">
        <v>526.70000000000005</v>
      </c>
      <c r="L683" s="139">
        <v>14</v>
      </c>
      <c r="M683" s="138" t="s">
        <v>271</v>
      </c>
      <c r="N683" s="138" t="s">
        <v>349</v>
      </c>
      <c r="O683" s="136" t="s">
        <v>351</v>
      </c>
      <c r="P683" s="130">
        <v>3504528.03</v>
      </c>
      <c r="Q683" s="130">
        <v>0</v>
      </c>
      <c r="R683" s="130">
        <v>0</v>
      </c>
      <c r="S683" s="130">
        <f t="shared" si="196"/>
        <v>3504528.03</v>
      </c>
      <c r="T683" s="130">
        <f t="shared" si="193"/>
        <v>4330.8552026693023</v>
      </c>
      <c r="U683" s="130">
        <f>T683</f>
        <v>4330.8552026693023</v>
      </c>
    </row>
    <row r="684" spans="1:21" s="64" customFormat="1" ht="36" customHeight="1" x14ac:dyDescent="0.9">
      <c r="A684" s="64">
        <v>1</v>
      </c>
      <c r="B684" s="96">
        <f>SUBTOTAL(103,$A$561:A684)</f>
        <v>123</v>
      </c>
      <c r="C684" s="94" t="s">
        <v>484</v>
      </c>
      <c r="D684" s="138">
        <v>1976</v>
      </c>
      <c r="E684" s="138">
        <v>2008</v>
      </c>
      <c r="F684" s="167" t="s">
        <v>319</v>
      </c>
      <c r="G684" s="138">
        <v>5</v>
      </c>
      <c r="H684" s="138">
        <v>10</v>
      </c>
      <c r="I684" s="129">
        <v>8393.7999999999993</v>
      </c>
      <c r="J684" s="129">
        <v>7705.8</v>
      </c>
      <c r="K684" s="129">
        <v>7147.7</v>
      </c>
      <c r="L684" s="139">
        <v>351</v>
      </c>
      <c r="M684" s="138" t="s">
        <v>271</v>
      </c>
      <c r="N684" s="138" t="s">
        <v>275</v>
      </c>
      <c r="O684" s="136" t="s">
        <v>352</v>
      </c>
      <c r="P684" s="130">
        <v>7806669.5300000003</v>
      </c>
      <c r="Q684" s="130">
        <v>0</v>
      </c>
      <c r="R684" s="130">
        <v>0</v>
      </c>
      <c r="S684" s="130">
        <f t="shared" si="196"/>
        <v>7806669.5300000003</v>
      </c>
      <c r="T684" s="130">
        <f t="shared" si="193"/>
        <v>930.05188710715061</v>
      </c>
      <c r="U684" s="130">
        <v>2213.5884863828064</v>
      </c>
    </row>
    <row r="685" spans="1:21" s="64" customFormat="1" ht="36" customHeight="1" x14ac:dyDescent="0.9">
      <c r="A685" s="64">
        <v>1</v>
      </c>
      <c r="B685" s="96">
        <f>SUBTOTAL(103,$A$561:A685)</f>
        <v>124</v>
      </c>
      <c r="C685" s="94" t="s">
        <v>462</v>
      </c>
      <c r="D685" s="138">
        <v>1958</v>
      </c>
      <c r="E685" s="138"/>
      <c r="F685" s="167" t="s">
        <v>273</v>
      </c>
      <c r="G685" s="138">
        <v>2</v>
      </c>
      <c r="H685" s="138">
        <v>2</v>
      </c>
      <c r="I685" s="130">
        <v>615.29999999999995</v>
      </c>
      <c r="J685" s="130">
        <v>568.6</v>
      </c>
      <c r="K685" s="130">
        <v>492.1</v>
      </c>
      <c r="L685" s="139">
        <v>25</v>
      </c>
      <c r="M685" s="138" t="s">
        <v>271</v>
      </c>
      <c r="N685" s="138" t="s">
        <v>272</v>
      </c>
      <c r="O685" s="136" t="s">
        <v>274</v>
      </c>
      <c r="P685" s="130">
        <v>2928184.83</v>
      </c>
      <c r="Q685" s="130">
        <v>0</v>
      </c>
      <c r="R685" s="130">
        <v>0</v>
      </c>
      <c r="S685" s="130">
        <f>P685-Q685-R685</f>
        <v>2928184.83</v>
      </c>
      <c r="T685" s="130">
        <f t="shared" si="193"/>
        <v>4758.9547050219408</v>
      </c>
      <c r="U685" s="130">
        <v>5192.6306029579073</v>
      </c>
    </row>
    <row r="686" spans="1:21" s="64" customFormat="1" ht="36" customHeight="1" x14ac:dyDescent="0.9">
      <c r="A686" s="64">
        <v>1</v>
      </c>
      <c r="B686" s="96">
        <f>SUBTOTAL(103,$A$561:A686)</f>
        <v>125</v>
      </c>
      <c r="C686" s="94" t="s">
        <v>463</v>
      </c>
      <c r="D686" s="138">
        <v>1969</v>
      </c>
      <c r="E686" s="138"/>
      <c r="F686" s="167" t="s">
        <v>273</v>
      </c>
      <c r="G686" s="138">
        <v>2</v>
      </c>
      <c r="H686" s="138">
        <v>2</v>
      </c>
      <c r="I686" s="130">
        <v>725.2</v>
      </c>
      <c r="J686" s="130">
        <v>674.9</v>
      </c>
      <c r="K686" s="130">
        <v>506.2</v>
      </c>
      <c r="L686" s="139">
        <v>25</v>
      </c>
      <c r="M686" s="138" t="s">
        <v>271</v>
      </c>
      <c r="N686" s="138" t="s">
        <v>272</v>
      </c>
      <c r="O686" s="136" t="s">
        <v>274</v>
      </c>
      <c r="P686" s="130">
        <v>4800723</v>
      </c>
      <c r="Q686" s="130">
        <v>0</v>
      </c>
      <c r="R686" s="130">
        <v>0</v>
      </c>
      <c r="S686" s="130">
        <f>P686-Q686-R686</f>
        <v>4800723</v>
      </c>
      <c r="T686" s="130">
        <f t="shared" si="193"/>
        <v>6619.860728075013</v>
      </c>
      <c r="U686" s="130">
        <v>7085.8259790402644</v>
      </c>
    </row>
    <row r="687" spans="1:21" s="64" customFormat="1" ht="36" customHeight="1" x14ac:dyDescent="0.9">
      <c r="A687" s="64">
        <v>1</v>
      </c>
      <c r="B687" s="96">
        <f>SUBTOTAL(103,$A$561:A687)</f>
        <v>126</v>
      </c>
      <c r="C687" s="94" t="s">
        <v>1359</v>
      </c>
      <c r="D687" s="138">
        <v>1970</v>
      </c>
      <c r="E687" s="138"/>
      <c r="F687" s="167" t="s">
        <v>273</v>
      </c>
      <c r="G687" s="138">
        <v>2</v>
      </c>
      <c r="H687" s="138">
        <v>2</v>
      </c>
      <c r="I687" s="129">
        <v>780.1</v>
      </c>
      <c r="J687" s="129">
        <v>721</v>
      </c>
      <c r="K687" s="129">
        <v>721</v>
      </c>
      <c r="L687" s="139">
        <v>29</v>
      </c>
      <c r="M687" s="138" t="s">
        <v>271</v>
      </c>
      <c r="N687" s="138" t="s">
        <v>272</v>
      </c>
      <c r="O687" s="136" t="s">
        <v>274</v>
      </c>
      <c r="P687" s="130">
        <v>3973949.34</v>
      </c>
      <c r="Q687" s="130">
        <v>0</v>
      </c>
      <c r="R687" s="130">
        <v>0</v>
      </c>
      <c r="S687" s="130">
        <f>P687-Q687-R687</f>
        <v>3973949.34</v>
      </c>
      <c r="T687" s="130">
        <f>P687/I687</f>
        <v>5094.1537495192924</v>
      </c>
      <c r="U687" s="130">
        <v>5553.9806086399167</v>
      </c>
    </row>
    <row r="688" spans="1:21" s="64" customFormat="1" ht="36" customHeight="1" x14ac:dyDescent="0.9">
      <c r="A688" s="64">
        <v>1</v>
      </c>
      <c r="B688" s="96">
        <f>SUBTOTAL(103,$A$561:A688)</f>
        <v>127</v>
      </c>
      <c r="C688" s="94" t="s">
        <v>482</v>
      </c>
      <c r="D688" s="138">
        <v>1971</v>
      </c>
      <c r="E688" s="138"/>
      <c r="F688" s="167" t="s">
        <v>273</v>
      </c>
      <c r="G688" s="138">
        <v>2</v>
      </c>
      <c r="H688" s="138">
        <v>2</v>
      </c>
      <c r="I688" s="129">
        <v>775.6</v>
      </c>
      <c r="J688" s="129">
        <v>716.4</v>
      </c>
      <c r="K688" s="129">
        <v>574.1</v>
      </c>
      <c r="L688" s="139">
        <v>35</v>
      </c>
      <c r="M688" s="138" t="s">
        <v>271</v>
      </c>
      <c r="N688" s="138" t="s">
        <v>272</v>
      </c>
      <c r="O688" s="136" t="s">
        <v>274</v>
      </c>
      <c r="P688" s="130">
        <v>3793636.92</v>
      </c>
      <c r="Q688" s="130">
        <v>0</v>
      </c>
      <c r="R688" s="130">
        <v>0</v>
      </c>
      <c r="S688" s="130">
        <f>P688-Q688-R688</f>
        <v>3793636.92</v>
      </c>
      <c r="T688" s="130">
        <f>P688/I688</f>
        <v>4891.228623001547</v>
      </c>
      <c r="U688" s="130">
        <v>5643.260752965446</v>
      </c>
    </row>
    <row r="689" spans="1:21" s="64" customFormat="1" ht="36" customHeight="1" x14ac:dyDescent="0.9">
      <c r="B689" s="94" t="s">
        <v>800</v>
      </c>
      <c r="C689" s="126"/>
      <c r="D689" s="138" t="s">
        <v>934</v>
      </c>
      <c r="E689" s="138" t="s">
        <v>934</v>
      </c>
      <c r="F689" s="138" t="s">
        <v>934</v>
      </c>
      <c r="G689" s="138" t="s">
        <v>934</v>
      </c>
      <c r="H689" s="138" t="s">
        <v>934</v>
      </c>
      <c r="I689" s="129">
        <f>SUM(I690:I744)</f>
        <v>101227.12999999998</v>
      </c>
      <c r="J689" s="129">
        <f t="shared" ref="J689:L689" si="197">SUM(J690:J744)</f>
        <v>86327.89</v>
      </c>
      <c r="K689" s="129">
        <f t="shared" si="197"/>
        <v>77416.849999999991</v>
      </c>
      <c r="L689" s="139">
        <f t="shared" si="197"/>
        <v>4156</v>
      </c>
      <c r="M689" s="138" t="s">
        <v>934</v>
      </c>
      <c r="N689" s="138" t="s">
        <v>934</v>
      </c>
      <c r="O689" s="136" t="s">
        <v>934</v>
      </c>
      <c r="P689" s="129">
        <v>95396897.950000003</v>
      </c>
      <c r="Q689" s="129">
        <f t="shared" ref="Q689:S689" si="198">SUM(Q690:Q744)</f>
        <v>0</v>
      </c>
      <c r="R689" s="129">
        <f t="shared" si="198"/>
        <v>0</v>
      </c>
      <c r="S689" s="129">
        <f t="shared" si="198"/>
        <v>95396897.950000003</v>
      </c>
      <c r="T689" s="130">
        <f t="shared" si="193"/>
        <v>942.40445175122545</v>
      </c>
      <c r="U689" s="130">
        <f>MAX(U690:U744)</f>
        <v>6674.5692439567983</v>
      </c>
    </row>
    <row r="690" spans="1:21" s="64" customFormat="1" ht="36" customHeight="1" x14ac:dyDescent="0.9">
      <c r="A690" s="64">
        <v>1</v>
      </c>
      <c r="B690" s="96">
        <f>SUBTOTAL(103,$A$561:A690)</f>
        <v>128</v>
      </c>
      <c r="C690" s="94" t="s">
        <v>418</v>
      </c>
      <c r="D690" s="138">
        <v>1985</v>
      </c>
      <c r="E690" s="138"/>
      <c r="F690" s="167" t="s">
        <v>273</v>
      </c>
      <c r="G690" s="138">
        <v>5</v>
      </c>
      <c r="H690" s="138">
        <v>6</v>
      </c>
      <c r="I690" s="129">
        <v>4537.2</v>
      </c>
      <c r="J690" s="129">
        <v>4163</v>
      </c>
      <c r="K690" s="129">
        <v>3807.9</v>
      </c>
      <c r="L690" s="139">
        <v>204</v>
      </c>
      <c r="M690" s="138" t="s">
        <v>271</v>
      </c>
      <c r="N690" s="138" t="s">
        <v>275</v>
      </c>
      <c r="O690" s="136" t="s">
        <v>1052</v>
      </c>
      <c r="P690" s="130">
        <v>6634502.3200000003</v>
      </c>
      <c r="Q690" s="130">
        <v>0</v>
      </c>
      <c r="R690" s="130">
        <v>0</v>
      </c>
      <c r="S690" s="130">
        <f t="shared" ref="S690:S744" si="199">P690-Q690-R690</f>
        <v>6634502.3200000003</v>
      </c>
      <c r="T690" s="130">
        <f t="shared" si="193"/>
        <v>1462.245949043463</v>
      </c>
      <c r="U690" s="130">
        <v>1861.3919642069998</v>
      </c>
    </row>
    <row r="691" spans="1:21" s="64" customFormat="1" ht="36" customHeight="1" x14ac:dyDescent="0.9">
      <c r="A691" s="64">
        <v>1</v>
      </c>
      <c r="B691" s="96">
        <f>SUBTOTAL(103,$A$561:A691)</f>
        <v>129</v>
      </c>
      <c r="C691" s="94" t="s">
        <v>419</v>
      </c>
      <c r="D691" s="138" t="s">
        <v>337</v>
      </c>
      <c r="E691" s="138"/>
      <c r="F691" s="167" t="s">
        <v>273</v>
      </c>
      <c r="G691" s="138">
        <v>9</v>
      </c>
      <c r="H691" s="138">
        <v>1</v>
      </c>
      <c r="I691" s="129">
        <v>2760.5</v>
      </c>
      <c r="J691" s="129">
        <v>2756.6</v>
      </c>
      <c r="K691" s="129">
        <v>2688.2</v>
      </c>
      <c r="L691" s="139">
        <v>123</v>
      </c>
      <c r="M691" s="138" t="s">
        <v>271</v>
      </c>
      <c r="N691" s="138" t="s">
        <v>275</v>
      </c>
      <c r="O691" s="136" t="s">
        <v>330</v>
      </c>
      <c r="P691" s="130">
        <v>2216554.6800000002</v>
      </c>
      <c r="Q691" s="130">
        <v>0</v>
      </c>
      <c r="R691" s="130">
        <v>0</v>
      </c>
      <c r="S691" s="130">
        <f t="shared" si="199"/>
        <v>2216554.6800000002</v>
      </c>
      <c r="T691" s="130">
        <f t="shared" si="193"/>
        <v>802.95405904727409</v>
      </c>
      <c r="U691" s="130">
        <v>814.45499003803661</v>
      </c>
    </row>
    <row r="692" spans="1:21" s="64" customFormat="1" ht="36" customHeight="1" x14ac:dyDescent="0.9">
      <c r="A692" s="64">
        <v>1</v>
      </c>
      <c r="B692" s="96">
        <f>SUBTOTAL(103,$A$561:A692)</f>
        <v>130</v>
      </c>
      <c r="C692" s="94" t="s">
        <v>420</v>
      </c>
      <c r="D692" s="138">
        <v>1987</v>
      </c>
      <c r="E692" s="138"/>
      <c r="F692" s="167" t="s">
        <v>273</v>
      </c>
      <c r="G692" s="138">
        <v>9</v>
      </c>
      <c r="H692" s="138">
        <v>1</v>
      </c>
      <c r="I692" s="129">
        <v>6006.9</v>
      </c>
      <c r="J692" s="129">
        <v>4693</v>
      </c>
      <c r="K692" s="129">
        <v>4333.1000000000004</v>
      </c>
      <c r="L692" s="139">
        <v>292</v>
      </c>
      <c r="M692" s="138" t="s">
        <v>271</v>
      </c>
      <c r="N692" s="138" t="s">
        <v>275</v>
      </c>
      <c r="O692" s="136" t="s">
        <v>329</v>
      </c>
      <c r="P692" s="130">
        <v>4590000</v>
      </c>
      <c r="Q692" s="130">
        <v>0</v>
      </c>
      <c r="R692" s="130">
        <v>0</v>
      </c>
      <c r="S692" s="130">
        <f t="shared" si="199"/>
        <v>4590000</v>
      </c>
      <c r="T692" s="130">
        <f t="shared" si="193"/>
        <v>764.12126055036708</v>
      </c>
      <c r="U692" s="130">
        <v>923.89290316136453</v>
      </c>
    </row>
    <row r="693" spans="1:21" s="64" customFormat="1" ht="36" customHeight="1" x14ac:dyDescent="0.9">
      <c r="A693" s="64">
        <v>1</v>
      </c>
      <c r="B693" s="96">
        <f>SUBTOTAL(103,$A$561:A693)</f>
        <v>131</v>
      </c>
      <c r="C693" s="94" t="s">
        <v>421</v>
      </c>
      <c r="D693" s="138">
        <v>1959</v>
      </c>
      <c r="E693" s="138"/>
      <c r="F693" s="167" t="s">
        <v>273</v>
      </c>
      <c r="G693" s="138">
        <v>4</v>
      </c>
      <c r="H693" s="138">
        <v>1</v>
      </c>
      <c r="I693" s="129">
        <v>1756.3</v>
      </c>
      <c r="J693" s="129">
        <v>1356.3</v>
      </c>
      <c r="K693" s="129">
        <v>1024.3</v>
      </c>
      <c r="L693" s="139">
        <v>59</v>
      </c>
      <c r="M693" s="138" t="s">
        <v>271</v>
      </c>
      <c r="N693" s="138" t="s">
        <v>272</v>
      </c>
      <c r="O693" s="136" t="s">
        <v>274</v>
      </c>
      <c r="P693" s="130">
        <v>3250000</v>
      </c>
      <c r="Q693" s="130">
        <v>0</v>
      </c>
      <c r="R693" s="130">
        <v>0</v>
      </c>
      <c r="S693" s="130">
        <f t="shared" si="199"/>
        <v>3250000</v>
      </c>
      <c r="T693" s="130">
        <f t="shared" si="193"/>
        <v>1850.4811250925241</v>
      </c>
      <c r="U693" s="130">
        <v>2237.4019245003701</v>
      </c>
    </row>
    <row r="694" spans="1:21" s="64" customFormat="1" ht="36" customHeight="1" x14ac:dyDescent="0.9">
      <c r="A694" s="64">
        <v>1</v>
      </c>
      <c r="B694" s="96">
        <f>SUBTOTAL(103,$A$561:A694)</f>
        <v>132</v>
      </c>
      <c r="C694" s="94" t="s">
        <v>422</v>
      </c>
      <c r="D694" s="138">
        <v>1941</v>
      </c>
      <c r="E694" s="138"/>
      <c r="F694" s="167" t="s">
        <v>332</v>
      </c>
      <c r="G694" s="138">
        <v>2</v>
      </c>
      <c r="H694" s="138">
        <v>2</v>
      </c>
      <c r="I694" s="129">
        <v>743.7</v>
      </c>
      <c r="J694" s="129">
        <v>550.15</v>
      </c>
      <c r="K694" s="129">
        <v>379.65</v>
      </c>
      <c r="L694" s="139">
        <v>21</v>
      </c>
      <c r="M694" s="138" t="s">
        <v>271</v>
      </c>
      <c r="N694" s="138" t="s">
        <v>275</v>
      </c>
      <c r="O694" s="136" t="s">
        <v>333</v>
      </c>
      <c r="P694" s="130">
        <v>3100000</v>
      </c>
      <c r="Q694" s="130">
        <v>0</v>
      </c>
      <c r="R694" s="130">
        <v>0</v>
      </c>
      <c r="S694" s="130">
        <f t="shared" si="199"/>
        <v>3100000</v>
      </c>
      <c r="T694" s="130">
        <f t="shared" si="193"/>
        <v>4168.3474519295414</v>
      </c>
      <c r="U694" s="130">
        <v>5039.9155573483931</v>
      </c>
    </row>
    <row r="695" spans="1:21" s="64" customFormat="1" ht="36" customHeight="1" x14ac:dyDescent="0.9">
      <c r="A695" s="64">
        <v>1</v>
      </c>
      <c r="B695" s="96">
        <f>SUBTOTAL(103,$A$561:A695)</f>
        <v>133</v>
      </c>
      <c r="C695" s="94" t="s">
        <v>423</v>
      </c>
      <c r="D695" s="138">
        <v>1957</v>
      </c>
      <c r="E695" s="138"/>
      <c r="F695" s="167" t="s">
        <v>273</v>
      </c>
      <c r="G695" s="138">
        <v>2</v>
      </c>
      <c r="H695" s="138">
        <v>2</v>
      </c>
      <c r="I695" s="129">
        <v>706.7</v>
      </c>
      <c r="J695" s="129">
        <v>646.1</v>
      </c>
      <c r="K695" s="129">
        <v>646.1</v>
      </c>
      <c r="L695" s="139">
        <v>23</v>
      </c>
      <c r="M695" s="138" t="s">
        <v>271</v>
      </c>
      <c r="N695" s="138" t="s">
        <v>272</v>
      </c>
      <c r="O695" s="136" t="s">
        <v>274</v>
      </c>
      <c r="P695" s="130">
        <v>3000000</v>
      </c>
      <c r="Q695" s="130">
        <v>0</v>
      </c>
      <c r="R695" s="130">
        <v>0</v>
      </c>
      <c r="S695" s="130">
        <f t="shared" si="199"/>
        <v>3000000</v>
      </c>
      <c r="T695" s="130">
        <f t="shared" si="193"/>
        <v>4245.0827791141928</v>
      </c>
      <c r="U695" s="130">
        <v>5132.6956275647372</v>
      </c>
    </row>
    <row r="696" spans="1:21" s="64" customFormat="1" ht="36" customHeight="1" x14ac:dyDescent="0.9">
      <c r="A696" s="64">
        <v>1</v>
      </c>
      <c r="B696" s="96">
        <f>SUBTOTAL(103,$A$561:A696)</f>
        <v>134</v>
      </c>
      <c r="C696" s="94" t="s">
        <v>203</v>
      </c>
      <c r="D696" s="101">
        <v>1966</v>
      </c>
      <c r="E696" s="138"/>
      <c r="F696" s="167" t="s">
        <v>273</v>
      </c>
      <c r="G696" s="138">
        <v>2</v>
      </c>
      <c r="H696" s="138">
        <v>1</v>
      </c>
      <c r="I696" s="129">
        <v>683.5</v>
      </c>
      <c r="J696" s="129">
        <v>634.5</v>
      </c>
      <c r="K696" s="129">
        <v>531.20000000000005</v>
      </c>
      <c r="L696" s="139">
        <v>28</v>
      </c>
      <c r="M696" s="138" t="s">
        <v>271</v>
      </c>
      <c r="N696" s="138" t="s">
        <v>275</v>
      </c>
      <c r="O696" s="136" t="s">
        <v>334</v>
      </c>
      <c r="P696" s="130">
        <v>686139</v>
      </c>
      <c r="Q696" s="130">
        <v>0</v>
      </c>
      <c r="R696" s="130">
        <v>0</v>
      </c>
      <c r="S696" s="130">
        <f t="shared" si="199"/>
        <v>686139</v>
      </c>
      <c r="T696" s="130">
        <f t="shared" si="193"/>
        <v>1003.8610095098757</v>
      </c>
      <c r="U696" s="130">
        <v>1003.8610095098757</v>
      </c>
    </row>
    <row r="697" spans="1:21" s="64" customFormat="1" ht="36" customHeight="1" x14ac:dyDescent="0.9">
      <c r="A697" s="64">
        <v>1</v>
      </c>
      <c r="B697" s="96">
        <f>SUBTOTAL(103,$A$561:A697)</f>
        <v>135</v>
      </c>
      <c r="C697" s="94" t="s">
        <v>204</v>
      </c>
      <c r="D697" s="101">
        <v>1974</v>
      </c>
      <c r="E697" s="138"/>
      <c r="F697" s="167" t="s">
        <v>273</v>
      </c>
      <c r="G697" s="138">
        <v>2</v>
      </c>
      <c r="H697" s="138">
        <v>2</v>
      </c>
      <c r="I697" s="129">
        <v>762</v>
      </c>
      <c r="J697" s="129">
        <v>702.6</v>
      </c>
      <c r="K697" s="129">
        <v>623.1</v>
      </c>
      <c r="L697" s="139">
        <v>48</v>
      </c>
      <c r="M697" s="138" t="s">
        <v>271</v>
      </c>
      <c r="N697" s="138" t="s">
        <v>275</v>
      </c>
      <c r="O697" s="136" t="s">
        <v>334</v>
      </c>
      <c r="P697" s="130">
        <v>783943</v>
      </c>
      <c r="Q697" s="130">
        <v>0</v>
      </c>
      <c r="R697" s="130">
        <v>0</v>
      </c>
      <c r="S697" s="130">
        <f t="shared" si="199"/>
        <v>783943</v>
      </c>
      <c r="T697" s="130">
        <f t="shared" si="193"/>
        <v>1028.7965879265091</v>
      </c>
      <c r="U697" s="130">
        <v>1028.7965879265091</v>
      </c>
    </row>
    <row r="698" spans="1:21" s="64" customFormat="1" ht="36" customHeight="1" x14ac:dyDescent="0.9">
      <c r="A698" s="64">
        <v>1</v>
      </c>
      <c r="B698" s="96">
        <f>SUBTOTAL(103,$A$561:A698)</f>
        <v>136</v>
      </c>
      <c r="C698" s="94" t="s">
        <v>205</v>
      </c>
      <c r="D698" s="138">
        <v>1973</v>
      </c>
      <c r="E698" s="138"/>
      <c r="F698" s="167" t="s">
        <v>273</v>
      </c>
      <c r="G698" s="138">
        <v>2</v>
      </c>
      <c r="H698" s="138">
        <v>2</v>
      </c>
      <c r="I698" s="129">
        <v>746.5</v>
      </c>
      <c r="J698" s="129">
        <v>687.5</v>
      </c>
      <c r="K698" s="129">
        <v>552</v>
      </c>
      <c r="L698" s="139">
        <v>48</v>
      </c>
      <c r="M698" s="138" t="s">
        <v>271</v>
      </c>
      <c r="N698" s="138" t="s">
        <v>275</v>
      </c>
      <c r="O698" s="136" t="s">
        <v>334</v>
      </c>
      <c r="P698" s="130">
        <v>776127.96</v>
      </c>
      <c r="Q698" s="130">
        <v>0</v>
      </c>
      <c r="R698" s="130">
        <v>0</v>
      </c>
      <c r="S698" s="130">
        <f t="shared" si="199"/>
        <v>776127.96</v>
      </c>
      <c r="T698" s="130">
        <f t="shared" si="193"/>
        <v>1039.6891627595444</v>
      </c>
      <c r="U698" s="130">
        <v>1039.6891627595444</v>
      </c>
    </row>
    <row r="699" spans="1:21" s="64" customFormat="1" ht="36" customHeight="1" x14ac:dyDescent="0.9">
      <c r="A699" s="64">
        <v>1</v>
      </c>
      <c r="B699" s="96">
        <f>SUBTOTAL(103,$A$561:A699)</f>
        <v>137</v>
      </c>
      <c r="C699" s="94" t="s">
        <v>424</v>
      </c>
      <c r="D699" s="138">
        <v>1960</v>
      </c>
      <c r="E699" s="138"/>
      <c r="F699" s="167" t="s">
        <v>273</v>
      </c>
      <c r="G699" s="138">
        <v>2</v>
      </c>
      <c r="H699" s="138">
        <v>2</v>
      </c>
      <c r="I699" s="129">
        <v>582.70000000000005</v>
      </c>
      <c r="J699" s="129">
        <v>535.70000000000005</v>
      </c>
      <c r="K699" s="129">
        <v>506.30000000000007</v>
      </c>
      <c r="L699" s="139">
        <v>28</v>
      </c>
      <c r="M699" s="138" t="s">
        <v>271</v>
      </c>
      <c r="N699" s="138" t="s">
        <v>275</v>
      </c>
      <c r="O699" s="136" t="s">
        <v>329</v>
      </c>
      <c r="P699" s="130">
        <v>2375000</v>
      </c>
      <c r="Q699" s="130">
        <v>0</v>
      </c>
      <c r="R699" s="130">
        <v>0</v>
      </c>
      <c r="S699" s="130">
        <f t="shared" si="199"/>
        <v>2375000</v>
      </c>
      <c r="T699" s="130">
        <f t="shared" si="193"/>
        <v>4075.8537841084603</v>
      </c>
      <c r="U699" s="130">
        <v>4948.8320233396253</v>
      </c>
    </row>
    <row r="700" spans="1:21" s="64" customFormat="1" ht="36" customHeight="1" x14ac:dyDescent="0.9">
      <c r="A700" s="64">
        <v>1</v>
      </c>
      <c r="B700" s="96">
        <f>SUBTOTAL(103,$A$561:A700)</f>
        <v>138</v>
      </c>
      <c r="C700" s="94" t="s">
        <v>425</v>
      </c>
      <c r="D700" s="138">
        <v>1960</v>
      </c>
      <c r="E700" s="138"/>
      <c r="F700" s="167" t="s">
        <v>273</v>
      </c>
      <c r="G700" s="138">
        <v>2</v>
      </c>
      <c r="H700" s="138">
        <v>2</v>
      </c>
      <c r="I700" s="129">
        <v>592.20000000000005</v>
      </c>
      <c r="J700" s="129">
        <v>550.70000000000005</v>
      </c>
      <c r="K700" s="129">
        <v>444.6</v>
      </c>
      <c r="L700" s="139">
        <v>36</v>
      </c>
      <c r="M700" s="138" t="s">
        <v>271</v>
      </c>
      <c r="N700" s="138" t="s">
        <v>275</v>
      </c>
      <c r="O700" s="136" t="s">
        <v>336</v>
      </c>
      <c r="P700" s="130">
        <v>2360000</v>
      </c>
      <c r="Q700" s="130">
        <v>0</v>
      </c>
      <c r="R700" s="130">
        <v>0</v>
      </c>
      <c r="S700" s="130">
        <f t="shared" si="199"/>
        <v>2360000</v>
      </c>
      <c r="T700" s="130">
        <f t="shared" si="193"/>
        <v>3985.1401553529208</v>
      </c>
      <c r="U700" s="130">
        <v>4818.4010807159739</v>
      </c>
    </row>
    <row r="701" spans="1:21" s="64" customFormat="1" ht="36" customHeight="1" x14ac:dyDescent="0.9">
      <c r="A701" s="64">
        <v>1</v>
      </c>
      <c r="B701" s="96">
        <f>SUBTOTAL(103,$A$561:A701)</f>
        <v>139</v>
      </c>
      <c r="C701" s="94" t="s">
        <v>426</v>
      </c>
      <c r="D701" s="138">
        <v>1950</v>
      </c>
      <c r="E701" s="138"/>
      <c r="F701" s="167" t="s">
        <v>273</v>
      </c>
      <c r="G701" s="138">
        <v>3</v>
      </c>
      <c r="H701" s="138">
        <v>2</v>
      </c>
      <c r="I701" s="129">
        <v>894.76</v>
      </c>
      <c r="J701" s="129">
        <v>604</v>
      </c>
      <c r="K701" s="129">
        <v>604</v>
      </c>
      <c r="L701" s="139">
        <v>19</v>
      </c>
      <c r="M701" s="138" t="s">
        <v>271</v>
      </c>
      <c r="N701" s="138" t="s">
        <v>275</v>
      </c>
      <c r="O701" s="136" t="s">
        <v>334</v>
      </c>
      <c r="P701" s="130">
        <v>2345000</v>
      </c>
      <c r="Q701" s="130">
        <v>0</v>
      </c>
      <c r="R701" s="130">
        <v>0</v>
      </c>
      <c r="S701" s="130">
        <f t="shared" si="199"/>
        <v>2345000</v>
      </c>
      <c r="T701" s="130">
        <f t="shared" si="193"/>
        <v>2620.8145200947743</v>
      </c>
      <c r="U701" s="130">
        <v>3168.8058697304309</v>
      </c>
    </row>
    <row r="702" spans="1:21" s="64" customFormat="1" ht="36" customHeight="1" x14ac:dyDescent="0.9">
      <c r="A702" s="64">
        <v>1</v>
      </c>
      <c r="B702" s="96">
        <f>SUBTOTAL(103,$A$561:A702)</f>
        <v>140</v>
      </c>
      <c r="C702" s="94" t="s">
        <v>427</v>
      </c>
      <c r="D702" s="138">
        <v>1977</v>
      </c>
      <c r="E702" s="138"/>
      <c r="F702" s="167" t="s">
        <v>273</v>
      </c>
      <c r="G702" s="138">
        <v>9</v>
      </c>
      <c r="H702" s="138">
        <v>2</v>
      </c>
      <c r="I702" s="129">
        <v>4984</v>
      </c>
      <c r="J702" s="129">
        <v>3763.9</v>
      </c>
      <c r="K702" s="129">
        <v>3573.6</v>
      </c>
      <c r="L702" s="139">
        <v>172</v>
      </c>
      <c r="M702" s="138" t="s">
        <v>271</v>
      </c>
      <c r="N702" s="138" t="s">
        <v>275</v>
      </c>
      <c r="O702" s="136" t="s">
        <v>1052</v>
      </c>
      <c r="P702" s="130">
        <v>6570450</v>
      </c>
      <c r="Q702" s="130">
        <v>0</v>
      </c>
      <c r="R702" s="130">
        <v>0</v>
      </c>
      <c r="S702" s="130">
        <f t="shared" si="199"/>
        <v>6570450</v>
      </c>
      <c r="T702" s="130">
        <f t="shared" si="193"/>
        <v>1318.3085874799358</v>
      </c>
      <c r="U702" s="130">
        <v>1593.8471990369183</v>
      </c>
    </row>
    <row r="703" spans="1:21" s="64" customFormat="1" ht="36" customHeight="1" x14ac:dyDescent="0.9">
      <c r="A703" s="64">
        <v>1</v>
      </c>
      <c r="B703" s="96">
        <f>SUBTOTAL(103,$A$561:A703)</f>
        <v>141</v>
      </c>
      <c r="C703" s="94" t="s">
        <v>428</v>
      </c>
      <c r="D703" s="138">
        <v>1961</v>
      </c>
      <c r="E703" s="138"/>
      <c r="F703" s="167" t="s">
        <v>273</v>
      </c>
      <c r="G703" s="138">
        <v>4</v>
      </c>
      <c r="H703" s="138">
        <v>2</v>
      </c>
      <c r="I703" s="129">
        <v>2700.93</v>
      </c>
      <c r="J703" s="129">
        <v>2360.79</v>
      </c>
      <c r="K703" s="129">
        <v>2305.5700000000002</v>
      </c>
      <c r="L703" s="139">
        <v>85</v>
      </c>
      <c r="M703" s="138" t="s">
        <v>271</v>
      </c>
      <c r="N703" s="138" t="s">
        <v>275</v>
      </c>
      <c r="O703" s="136" t="s">
        <v>329</v>
      </c>
      <c r="P703" s="130">
        <v>5669999.9900000002</v>
      </c>
      <c r="Q703" s="130">
        <v>0</v>
      </c>
      <c r="R703" s="130">
        <v>0</v>
      </c>
      <c r="S703" s="130">
        <f t="shared" si="199"/>
        <v>5669999.9900000002</v>
      </c>
      <c r="T703" s="130">
        <f t="shared" si="193"/>
        <v>2099.2769120265984</v>
      </c>
      <c r="U703" s="130">
        <v>2538.2189245926402</v>
      </c>
    </row>
    <row r="704" spans="1:21" s="64" customFormat="1" ht="36" customHeight="1" x14ac:dyDescent="0.9">
      <c r="A704" s="64">
        <v>1</v>
      </c>
      <c r="B704" s="96">
        <f>SUBTOTAL(103,$A$561:A704)</f>
        <v>142</v>
      </c>
      <c r="C704" s="94" t="s">
        <v>429</v>
      </c>
      <c r="D704" s="138">
        <v>1963</v>
      </c>
      <c r="E704" s="138"/>
      <c r="F704" s="167" t="s">
        <v>273</v>
      </c>
      <c r="G704" s="138">
        <v>4</v>
      </c>
      <c r="H704" s="138">
        <v>2</v>
      </c>
      <c r="I704" s="129">
        <v>1374.8</v>
      </c>
      <c r="J704" s="129">
        <v>1010.2</v>
      </c>
      <c r="K704" s="129">
        <v>1010.2</v>
      </c>
      <c r="L704" s="139">
        <v>43</v>
      </c>
      <c r="M704" s="138" t="s">
        <v>271</v>
      </c>
      <c r="N704" s="138" t="s">
        <v>275</v>
      </c>
      <c r="O704" s="136" t="s">
        <v>329</v>
      </c>
      <c r="P704" s="130">
        <v>2895000</v>
      </c>
      <c r="Q704" s="130">
        <v>0</v>
      </c>
      <c r="R704" s="130">
        <v>0</v>
      </c>
      <c r="S704" s="130">
        <f t="shared" si="199"/>
        <v>2895000</v>
      </c>
      <c r="T704" s="130">
        <f t="shared" si="193"/>
        <v>2105.760837940064</v>
      </c>
      <c r="U704" s="130">
        <v>2546.0585830666278</v>
      </c>
    </row>
    <row r="705" spans="1:21" s="64" customFormat="1" ht="36" customHeight="1" x14ac:dyDescent="0.9">
      <c r="A705" s="64">
        <v>1</v>
      </c>
      <c r="B705" s="96">
        <f>SUBTOTAL(103,$A$561:A705)</f>
        <v>143</v>
      </c>
      <c r="C705" s="94" t="s">
        <v>430</v>
      </c>
      <c r="D705" s="138">
        <v>1958</v>
      </c>
      <c r="E705" s="138"/>
      <c r="F705" s="167" t="s">
        <v>273</v>
      </c>
      <c r="G705" s="138">
        <v>2</v>
      </c>
      <c r="H705" s="138">
        <v>2</v>
      </c>
      <c r="I705" s="129">
        <v>653.70000000000005</v>
      </c>
      <c r="J705" s="129">
        <v>606</v>
      </c>
      <c r="K705" s="129">
        <v>538.1</v>
      </c>
      <c r="L705" s="139">
        <v>27</v>
      </c>
      <c r="M705" s="138" t="s">
        <v>271</v>
      </c>
      <c r="N705" s="138" t="s">
        <v>275</v>
      </c>
      <c r="O705" s="136" t="s">
        <v>333</v>
      </c>
      <c r="P705" s="130">
        <v>2850000</v>
      </c>
      <c r="Q705" s="130">
        <v>0</v>
      </c>
      <c r="R705" s="130">
        <v>0</v>
      </c>
      <c r="S705" s="130">
        <f t="shared" si="199"/>
        <v>2850000</v>
      </c>
      <c r="T705" s="130">
        <f t="shared" si="193"/>
        <v>4359.7980725103253</v>
      </c>
      <c r="U705" s="130">
        <v>5271.3969710876545</v>
      </c>
    </row>
    <row r="706" spans="1:21" s="64" customFormat="1" ht="36" customHeight="1" x14ac:dyDescent="0.9">
      <c r="A706" s="64">
        <v>1</v>
      </c>
      <c r="B706" s="96">
        <f>SUBTOTAL(103,$A$561:A706)</f>
        <v>144</v>
      </c>
      <c r="C706" s="94" t="s">
        <v>431</v>
      </c>
      <c r="D706" s="138">
        <v>1961</v>
      </c>
      <c r="E706" s="138"/>
      <c r="F706" s="167" t="s">
        <v>273</v>
      </c>
      <c r="G706" s="138">
        <v>2</v>
      </c>
      <c r="H706" s="138">
        <v>1</v>
      </c>
      <c r="I706" s="129">
        <v>291.64999999999998</v>
      </c>
      <c r="J706" s="129">
        <v>275.13</v>
      </c>
      <c r="K706" s="129">
        <v>135.19999999999999</v>
      </c>
      <c r="L706" s="139">
        <v>18</v>
      </c>
      <c r="M706" s="138" t="s">
        <v>271</v>
      </c>
      <c r="N706" s="138" t="s">
        <v>272</v>
      </c>
      <c r="O706" s="136" t="s">
        <v>274</v>
      </c>
      <c r="P706" s="130">
        <v>1600000</v>
      </c>
      <c r="Q706" s="130">
        <v>0</v>
      </c>
      <c r="R706" s="130">
        <v>0</v>
      </c>
      <c r="S706" s="130">
        <f t="shared" si="199"/>
        <v>1600000</v>
      </c>
      <c r="T706" s="130">
        <f t="shared" si="193"/>
        <v>5486.0277730156013</v>
      </c>
      <c r="U706" s="130">
        <v>6674.5692439567983</v>
      </c>
    </row>
    <row r="707" spans="1:21" s="64" customFormat="1" ht="36" customHeight="1" x14ac:dyDescent="0.9">
      <c r="A707" s="64">
        <v>1</v>
      </c>
      <c r="B707" s="96">
        <f>SUBTOTAL(103,$A$561:A707)</f>
        <v>145</v>
      </c>
      <c r="C707" s="94" t="s">
        <v>432</v>
      </c>
      <c r="D707" s="138">
        <v>1971</v>
      </c>
      <c r="E707" s="138"/>
      <c r="F707" s="167" t="s">
        <v>273</v>
      </c>
      <c r="G707" s="138">
        <v>5</v>
      </c>
      <c r="H707" s="138">
        <v>6</v>
      </c>
      <c r="I707" s="129">
        <v>5077.5</v>
      </c>
      <c r="J707" s="129">
        <v>3712.4</v>
      </c>
      <c r="K707" s="129">
        <v>1549.0700000000002</v>
      </c>
      <c r="L707" s="139">
        <v>164</v>
      </c>
      <c r="M707" s="138" t="s">
        <v>271</v>
      </c>
      <c r="N707" s="138" t="s">
        <v>275</v>
      </c>
      <c r="O707" s="136" t="s">
        <v>336</v>
      </c>
      <c r="P707" s="130">
        <v>8150000</v>
      </c>
      <c r="Q707" s="130">
        <v>0</v>
      </c>
      <c r="R707" s="130">
        <v>0</v>
      </c>
      <c r="S707" s="130">
        <f t="shared" si="199"/>
        <v>8150000</v>
      </c>
      <c r="T707" s="130">
        <f t="shared" si="193"/>
        <v>1605.1206302314131</v>
      </c>
      <c r="U707" s="130">
        <v>1940.7385130477599</v>
      </c>
    </row>
    <row r="708" spans="1:21" s="64" customFormat="1" ht="36" customHeight="1" x14ac:dyDescent="0.9">
      <c r="A708" s="64">
        <v>1</v>
      </c>
      <c r="B708" s="96">
        <f>SUBTOTAL(103,$A$561:A708)</f>
        <v>146</v>
      </c>
      <c r="C708" s="94" t="s">
        <v>433</v>
      </c>
      <c r="D708" s="138">
        <v>1973</v>
      </c>
      <c r="E708" s="138"/>
      <c r="F708" s="167" t="s">
        <v>332</v>
      </c>
      <c r="G708" s="138">
        <v>2</v>
      </c>
      <c r="H708" s="138">
        <v>2</v>
      </c>
      <c r="I708" s="129">
        <v>816.6</v>
      </c>
      <c r="J708" s="129">
        <v>537.5</v>
      </c>
      <c r="K708" s="129">
        <v>202.60000000000002</v>
      </c>
      <c r="L708" s="139">
        <v>29</v>
      </c>
      <c r="M708" s="138" t="s">
        <v>271</v>
      </c>
      <c r="N708" s="138" t="s">
        <v>275</v>
      </c>
      <c r="O708" s="136" t="s">
        <v>333</v>
      </c>
      <c r="P708" s="130">
        <v>2500000</v>
      </c>
      <c r="Q708" s="130">
        <v>0</v>
      </c>
      <c r="R708" s="130">
        <v>0</v>
      </c>
      <c r="S708" s="130">
        <f t="shared" si="199"/>
        <v>2500000</v>
      </c>
      <c r="T708" s="130">
        <f t="shared" si="193"/>
        <v>3061.4744060739649</v>
      </c>
      <c r="U708" s="130">
        <v>3701.6042125887825</v>
      </c>
    </row>
    <row r="709" spans="1:21" s="64" customFormat="1" ht="36" customHeight="1" x14ac:dyDescent="0.9">
      <c r="A709" s="64">
        <v>1</v>
      </c>
      <c r="B709" s="96">
        <f>SUBTOTAL(103,$A$561:A709)</f>
        <v>147</v>
      </c>
      <c r="C709" s="94" t="s">
        <v>434</v>
      </c>
      <c r="D709" s="138">
        <v>1954</v>
      </c>
      <c r="E709" s="138"/>
      <c r="F709" s="167" t="s">
        <v>332</v>
      </c>
      <c r="G709" s="138">
        <v>2</v>
      </c>
      <c r="H709" s="138">
        <v>2</v>
      </c>
      <c r="I709" s="129">
        <v>441</v>
      </c>
      <c r="J709" s="129">
        <v>399.8</v>
      </c>
      <c r="K709" s="129">
        <v>310.20000000000005</v>
      </c>
      <c r="L709" s="139">
        <v>28</v>
      </c>
      <c r="M709" s="138" t="s">
        <v>271</v>
      </c>
      <c r="N709" s="138" t="s">
        <v>275</v>
      </c>
      <c r="O709" s="136" t="s">
        <v>333</v>
      </c>
      <c r="P709" s="130">
        <v>2131474</v>
      </c>
      <c r="Q709" s="130">
        <v>0</v>
      </c>
      <c r="R709" s="130">
        <v>0</v>
      </c>
      <c r="S709" s="130">
        <f t="shared" si="199"/>
        <v>2131474</v>
      </c>
      <c r="T709" s="130">
        <f t="shared" si="193"/>
        <v>4833.2743764172337</v>
      </c>
      <c r="U709" s="130">
        <v>5757.580952380953</v>
      </c>
    </row>
    <row r="710" spans="1:21" s="64" customFormat="1" ht="36" customHeight="1" x14ac:dyDescent="0.9">
      <c r="A710" s="64">
        <v>1</v>
      </c>
      <c r="B710" s="96">
        <f>SUBTOTAL(103,$A$561:A710)</f>
        <v>148</v>
      </c>
      <c r="C710" s="94" t="s">
        <v>206</v>
      </c>
      <c r="D710" s="138">
        <v>1980</v>
      </c>
      <c r="E710" s="138"/>
      <c r="F710" s="167" t="s">
        <v>273</v>
      </c>
      <c r="G710" s="138">
        <v>2</v>
      </c>
      <c r="H710" s="138">
        <v>3</v>
      </c>
      <c r="I710" s="129">
        <v>962.21999999999991</v>
      </c>
      <c r="J710" s="129">
        <v>875.92</v>
      </c>
      <c r="K710" s="129">
        <v>831.42</v>
      </c>
      <c r="L710" s="139">
        <v>32</v>
      </c>
      <c r="M710" s="138" t="s">
        <v>271</v>
      </c>
      <c r="N710" s="138" t="s">
        <v>275</v>
      </c>
      <c r="O710" s="136" t="s">
        <v>335</v>
      </c>
      <c r="P710" s="130">
        <v>3697950</v>
      </c>
      <c r="Q710" s="130">
        <v>0</v>
      </c>
      <c r="R710" s="130">
        <v>0</v>
      </c>
      <c r="S710" s="130">
        <f t="shared" si="199"/>
        <v>3697950</v>
      </c>
      <c r="T710" s="130">
        <f t="shared" si="193"/>
        <v>3843.143979547297</v>
      </c>
      <c r="U710" s="130">
        <v>4397.9775934817408</v>
      </c>
    </row>
    <row r="711" spans="1:21" s="64" customFormat="1" ht="36" customHeight="1" x14ac:dyDescent="0.9">
      <c r="A711" s="64">
        <v>1</v>
      </c>
      <c r="B711" s="96">
        <f>SUBTOTAL(103,$A$561:A711)</f>
        <v>149</v>
      </c>
      <c r="C711" s="94" t="s">
        <v>208</v>
      </c>
      <c r="D711" s="138">
        <v>1981</v>
      </c>
      <c r="E711" s="138"/>
      <c r="F711" s="167" t="s">
        <v>273</v>
      </c>
      <c r="G711" s="138">
        <v>2</v>
      </c>
      <c r="H711" s="138">
        <v>3</v>
      </c>
      <c r="I711" s="129">
        <v>955.1</v>
      </c>
      <c r="J711" s="129">
        <v>865.5</v>
      </c>
      <c r="K711" s="129">
        <v>865.5</v>
      </c>
      <c r="L711" s="139">
        <v>47</v>
      </c>
      <c r="M711" s="138" t="s">
        <v>271</v>
      </c>
      <c r="N711" s="138" t="s">
        <v>275</v>
      </c>
      <c r="O711" s="136" t="s">
        <v>335</v>
      </c>
      <c r="P711" s="130">
        <v>3680000</v>
      </c>
      <c r="Q711" s="130">
        <v>0</v>
      </c>
      <c r="R711" s="130">
        <v>0</v>
      </c>
      <c r="S711" s="130">
        <f t="shared" si="199"/>
        <v>3680000</v>
      </c>
      <c r="T711" s="130">
        <f t="shared" si="193"/>
        <v>3852.9996858967647</v>
      </c>
      <c r="U711" s="130">
        <v>4399.1149617841065</v>
      </c>
    </row>
    <row r="712" spans="1:21" s="64" customFormat="1" ht="36" customHeight="1" x14ac:dyDescent="0.9">
      <c r="A712" s="64">
        <v>1</v>
      </c>
      <c r="B712" s="96">
        <f>SUBTOTAL(103,$A$561:A712)</f>
        <v>150</v>
      </c>
      <c r="C712" s="94" t="s">
        <v>207</v>
      </c>
      <c r="D712" s="138">
        <v>1987</v>
      </c>
      <c r="E712" s="138"/>
      <c r="F712" s="167" t="s">
        <v>273</v>
      </c>
      <c r="G712" s="138">
        <v>2</v>
      </c>
      <c r="H712" s="138">
        <v>3</v>
      </c>
      <c r="I712" s="129">
        <v>946.6</v>
      </c>
      <c r="J712" s="129">
        <v>861.5</v>
      </c>
      <c r="K712" s="129">
        <v>797.6</v>
      </c>
      <c r="L712" s="139">
        <v>47</v>
      </c>
      <c r="M712" s="138" t="s">
        <v>271</v>
      </c>
      <c r="N712" s="138" t="s">
        <v>275</v>
      </c>
      <c r="O712" s="136" t="s">
        <v>335</v>
      </c>
      <c r="P712" s="130">
        <v>3519757</v>
      </c>
      <c r="Q712" s="130">
        <v>0</v>
      </c>
      <c r="R712" s="130">
        <v>0</v>
      </c>
      <c r="S712" s="130">
        <f t="shared" si="199"/>
        <v>3519757</v>
      </c>
      <c r="T712" s="130">
        <f t="shared" si="193"/>
        <v>3718.3150221846608</v>
      </c>
      <c r="U712" s="130">
        <v>4253.4083667863933</v>
      </c>
    </row>
    <row r="713" spans="1:21" s="64" customFormat="1" ht="36" customHeight="1" x14ac:dyDescent="0.9">
      <c r="A713" s="64">
        <v>1</v>
      </c>
      <c r="B713" s="96">
        <f>SUBTOTAL(103,$A$561:A713)</f>
        <v>151</v>
      </c>
      <c r="C713" s="94" t="s">
        <v>435</v>
      </c>
      <c r="D713" s="138">
        <v>1987</v>
      </c>
      <c r="E713" s="138"/>
      <c r="F713" s="167" t="s">
        <v>273</v>
      </c>
      <c r="G713" s="138">
        <v>5</v>
      </c>
      <c r="H713" s="138">
        <v>4</v>
      </c>
      <c r="I713" s="129">
        <v>2928.1</v>
      </c>
      <c r="J713" s="129">
        <v>2613.6</v>
      </c>
      <c r="K713" s="129">
        <v>2388.9</v>
      </c>
      <c r="L713" s="139">
        <v>106</v>
      </c>
      <c r="M713" s="138" t="s">
        <v>271</v>
      </c>
      <c r="N713" s="138" t="s">
        <v>275</v>
      </c>
      <c r="O713" s="136" t="s">
        <v>334</v>
      </c>
      <c r="P713" s="130">
        <v>4125000</v>
      </c>
      <c r="Q713" s="130">
        <v>0</v>
      </c>
      <c r="R713" s="130">
        <v>0</v>
      </c>
      <c r="S713" s="130">
        <f t="shared" si="199"/>
        <v>4125000</v>
      </c>
      <c r="T713" s="130">
        <f t="shared" si="193"/>
        <v>1408.7633619070386</v>
      </c>
      <c r="U713" s="130">
        <v>1703.3245107749053</v>
      </c>
    </row>
    <row r="714" spans="1:21" s="64" customFormat="1" ht="36" customHeight="1" x14ac:dyDescent="0.9">
      <c r="A714" s="64">
        <v>1</v>
      </c>
      <c r="B714" s="96">
        <f>SUBTOTAL(103,$A$561:A714)</f>
        <v>152</v>
      </c>
      <c r="C714" s="94" t="s">
        <v>436</v>
      </c>
      <c r="D714" s="138">
        <v>1846</v>
      </c>
      <c r="E714" s="138"/>
      <c r="F714" s="167" t="s">
        <v>273</v>
      </c>
      <c r="G714" s="138">
        <v>2</v>
      </c>
      <c r="H714" s="138">
        <v>1</v>
      </c>
      <c r="I714" s="129">
        <v>378.89</v>
      </c>
      <c r="J714" s="129">
        <v>325.39999999999998</v>
      </c>
      <c r="K714" s="129">
        <v>325.39999999999998</v>
      </c>
      <c r="L714" s="139">
        <v>17</v>
      </c>
      <c r="M714" s="138" t="s">
        <v>271</v>
      </c>
      <c r="N714" s="138" t="s">
        <v>272</v>
      </c>
      <c r="O714" s="136" t="s">
        <v>274</v>
      </c>
      <c r="P714" s="130">
        <v>2000000</v>
      </c>
      <c r="Q714" s="130">
        <v>0</v>
      </c>
      <c r="R714" s="130">
        <v>0</v>
      </c>
      <c r="S714" s="130">
        <f t="shared" si="199"/>
        <v>2000000</v>
      </c>
      <c r="T714" s="130">
        <f t="shared" si="193"/>
        <v>5278.576895668928</v>
      </c>
      <c r="U714" s="130">
        <v>5823.8351500435483</v>
      </c>
    </row>
    <row r="715" spans="1:21" s="64" customFormat="1" ht="36" customHeight="1" x14ac:dyDescent="0.9">
      <c r="A715" s="64">
        <v>1</v>
      </c>
      <c r="B715" s="96">
        <f>SUBTOTAL(103,$A$561:A715)</f>
        <v>153</v>
      </c>
      <c r="C715" s="94" t="s">
        <v>437</v>
      </c>
      <c r="D715" s="138">
        <v>1964</v>
      </c>
      <c r="E715" s="138"/>
      <c r="F715" s="167" t="s">
        <v>273</v>
      </c>
      <c r="G715" s="138">
        <v>3</v>
      </c>
      <c r="H715" s="138">
        <v>2</v>
      </c>
      <c r="I715" s="129">
        <v>1192.79</v>
      </c>
      <c r="J715" s="129">
        <v>1161.32</v>
      </c>
      <c r="K715" s="129">
        <v>1130.3599999999999</v>
      </c>
      <c r="L715" s="139">
        <v>54</v>
      </c>
      <c r="M715" s="138" t="s">
        <v>271</v>
      </c>
      <c r="N715" s="138" t="s">
        <v>275</v>
      </c>
      <c r="O715" s="136" t="s">
        <v>330</v>
      </c>
      <c r="P715" s="130">
        <v>4900000</v>
      </c>
      <c r="Q715" s="130">
        <v>0</v>
      </c>
      <c r="R715" s="130">
        <v>0</v>
      </c>
      <c r="S715" s="130">
        <f t="shared" si="199"/>
        <v>4900000</v>
      </c>
      <c r="T715" s="130">
        <f t="shared" si="193"/>
        <v>4108.0156607617437</v>
      </c>
      <c r="U715" s="130">
        <v>5706.8899219477034</v>
      </c>
    </row>
    <row r="716" spans="1:21" s="64" customFormat="1" ht="36" customHeight="1" x14ac:dyDescent="0.9">
      <c r="A716" s="64">
        <v>1</v>
      </c>
      <c r="B716" s="96">
        <f>SUBTOTAL(103,$A$561:A716)</f>
        <v>154</v>
      </c>
      <c r="C716" s="94" t="s">
        <v>438</v>
      </c>
      <c r="D716" s="138">
        <v>1941</v>
      </c>
      <c r="E716" s="138"/>
      <c r="F716" s="167" t="s">
        <v>273</v>
      </c>
      <c r="G716" s="138">
        <v>2</v>
      </c>
      <c r="H716" s="138">
        <v>2</v>
      </c>
      <c r="I716" s="129">
        <v>858.1</v>
      </c>
      <c r="J716" s="129">
        <v>655.20000000000005</v>
      </c>
      <c r="K716" s="129">
        <v>655.20000000000005</v>
      </c>
      <c r="L716" s="139">
        <v>20</v>
      </c>
      <c r="M716" s="138" t="s">
        <v>271</v>
      </c>
      <c r="N716" s="138" t="s">
        <v>275</v>
      </c>
      <c r="O716" s="136" t="s">
        <v>333</v>
      </c>
      <c r="P716" s="130">
        <v>3000000</v>
      </c>
      <c r="Q716" s="130">
        <v>0</v>
      </c>
      <c r="R716" s="130">
        <v>0</v>
      </c>
      <c r="S716" s="130">
        <f t="shared" si="199"/>
        <v>3000000</v>
      </c>
      <c r="T716" s="130">
        <f t="shared" ref="T716:T779" si="200">P716/I716</f>
        <v>3496.0960261041837</v>
      </c>
      <c r="U716" s="130">
        <v>4227.1017363943592</v>
      </c>
    </row>
    <row r="717" spans="1:21" s="64" customFormat="1" ht="36" customHeight="1" x14ac:dyDescent="0.9">
      <c r="A717" s="64">
        <v>1</v>
      </c>
      <c r="B717" s="96">
        <f>SUBTOTAL(103,$A$561:A717)</f>
        <v>155</v>
      </c>
      <c r="C717" s="94" t="s">
        <v>439</v>
      </c>
      <c r="D717" s="138">
        <v>1962</v>
      </c>
      <c r="E717" s="138"/>
      <c r="F717" s="167" t="s">
        <v>332</v>
      </c>
      <c r="G717" s="138">
        <v>2</v>
      </c>
      <c r="H717" s="138">
        <v>2</v>
      </c>
      <c r="I717" s="129">
        <v>590.99</v>
      </c>
      <c r="J717" s="129">
        <v>407.09</v>
      </c>
      <c r="K717" s="129">
        <v>407.09</v>
      </c>
      <c r="L717" s="139">
        <v>22</v>
      </c>
      <c r="M717" s="138" t="s">
        <v>271</v>
      </c>
      <c r="N717" s="138" t="s">
        <v>275</v>
      </c>
      <c r="O717" s="136" t="s">
        <v>336</v>
      </c>
      <c r="P717" s="130">
        <v>2310000</v>
      </c>
      <c r="Q717" s="130">
        <v>0</v>
      </c>
      <c r="R717" s="130">
        <v>0</v>
      </c>
      <c r="S717" s="130">
        <f t="shared" si="199"/>
        <v>2310000</v>
      </c>
      <c r="T717" s="130">
        <f t="shared" si="200"/>
        <v>3908.6955786053909</v>
      </c>
      <c r="U717" s="130">
        <v>4725.9725545271494</v>
      </c>
    </row>
    <row r="718" spans="1:21" s="64" customFormat="1" ht="36" customHeight="1" x14ac:dyDescent="0.9">
      <c r="A718" s="64">
        <v>1</v>
      </c>
      <c r="B718" s="96">
        <f>SUBTOTAL(103,$A$561:A718)</f>
        <v>156</v>
      </c>
      <c r="C718" s="94" t="s">
        <v>440</v>
      </c>
      <c r="D718" s="138">
        <v>1959</v>
      </c>
      <c r="E718" s="138"/>
      <c r="F718" s="167" t="s">
        <v>273</v>
      </c>
      <c r="G718" s="138">
        <v>3</v>
      </c>
      <c r="H718" s="138">
        <v>4</v>
      </c>
      <c r="I718" s="129">
        <v>2095.6</v>
      </c>
      <c r="J718" s="129">
        <v>1915.7</v>
      </c>
      <c r="K718" s="129">
        <v>1915.7</v>
      </c>
      <c r="L718" s="139">
        <v>69</v>
      </c>
      <c r="M718" s="138" t="s">
        <v>271</v>
      </c>
      <c r="N718" s="138" t="s">
        <v>275</v>
      </c>
      <c r="O718" s="136" t="s">
        <v>333</v>
      </c>
      <c r="P718" s="130">
        <v>150000</v>
      </c>
      <c r="Q718" s="130">
        <v>0</v>
      </c>
      <c r="R718" s="130">
        <v>0</v>
      </c>
      <c r="S718" s="130">
        <f t="shared" si="199"/>
        <v>150000</v>
      </c>
      <c r="T718" s="130">
        <f t="shared" si="200"/>
        <v>71.578545523954958</v>
      </c>
      <c r="U718" s="130">
        <v>71.578545523954958</v>
      </c>
    </row>
    <row r="719" spans="1:21" s="64" customFormat="1" ht="36" customHeight="1" x14ac:dyDescent="0.9">
      <c r="A719" s="64">
        <v>1</v>
      </c>
      <c r="B719" s="96">
        <f>SUBTOTAL(103,$A$561:A719)</f>
        <v>157</v>
      </c>
      <c r="C719" s="94" t="s">
        <v>441</v>
      </c>
      <c r="D719" s="138">
        <v>1989</v>
      </c>
      <c r="E719" s="138"/>
      <c r="F719" s="167" t="s">
        <v>273</v>
      </c>
      <c r="G719" s="138">
        <v>5</v>
      </c>
      <c r="H719" s="138">
        <v>3</v>
      </c>
      <c r="I719" s="129">
        <v>2042.1</v>
      </c>
      <c r="J719" s="129">
        <v>1708.9</v>
      </c>
      <c r="K719" s="129">
        <v>1675.9</v>
      </c>
      <c r="L719" s="139">
        <v>86</v>
      </c>
      <c r="M719" s="138" t="s">
        <v>271</v>
      </c>
      <c r="N719" s="138" t="s">
        <v>275</v>
      </c>
      <c r="O719" s="136" t="s">
        <v>1052</v>
      </c>
      <c r="P719" s="130">
        <v>150000</v>
      </c>
      <c r="Q719" s="130">
        <v>0</v>
      </c>
      <c r="R719" s="130">
        <v>0</v>
      </c>
      <c r="S719" s="130">
        <f t="shared" si="199"/>
        <v>150000</v>
      </c>
      <c r="T719" s="130">
        <f t="shared" si="200"/>
        <v>73.453797561333928</v>
      </c>
      <c r="U719" s="130">
        <v>73.453797561333928</v>
      </c>
    </row>
    <row r="720" spans="1:21" s="64" customFormat="1" ht="36" customHeight="1" x14ac:dyDescent="0.9">
      <c r="A720" s="64">
        <v>1</v>
      </c>
      <c r="B720" s="96">
        <f>SUBTOTAL(103,$A$561:A720)</f>
        <v>158</v>
      </c>
      <c r="C720" s="94" t="s">
        <v>442</v>
      </c>
      <c r="D720" s="138">
        <v>1972</v>
      </c>
      <c r="E720" s="138"/>
      <c r="F720" s="167" t="s">
        <v>273</v>
      </c>
      <c r="G720" s="138">
        <v>5</v>
      </c>
      <c r="H720" s="138">
        <v>4</v>
      </c>
      <c r="I720" s="129">
        <v>3577.12</v>
      </c>
      <c r="J720" s="129">
        <v>3193.8</v>
      </c>
      <c r="K720" s="129">
        <v>2940.98</v>
      </c>
      <c r="L720" s="139">
        <v>152</v>
      </c>
      <c r="M720" s="138" t="s">
        <v>271</v>
      </c>
      <c r="N720" s="138" t="s">
        <v>275</v>
      </c>
      <c r="O720" s="136" t="s">
        <v>336</v>
      </c>
      <c r="P720" s="130">
        <v>180000</v>
      </c>
      <c r="Q720" s="130">
        <v>0</v>
      </c>
      <c r="R720" s="130">
        <v>0</v>
      </c>
      <c r="S720" s="130">
        <f t="shared" si="199"/>
        <v>180000</v>
      </c>
      <c r="T720" s="130">
        <f t="shared" si="200"/>
        <v>50.319810350225879</v>
      </c>
      <c r="U720" s="130">
        <v>50.319810350225879</v>
      </c>
    </row>
    <row r="721" spans="1:21" s="64" customFormat="1" ht="36" customHeight="1" x14ac:dyDescent="0.9">
      <c r="A721" s="64">
        <v>1</v>
      </c>
      <c r="B721" s="96">
        <f>SUBTOTAL(103,$A$561:A721)</f>
        <v>159</v>
      </c>
      <c r="C721" s="94" t="s">
        <v>443</v>
      </c>
      <c r="D721" s="138">
        <v>1955</v>
      </c>
      <c r="E721" s="138"/>
      <c r="F721" s="167" t="s">
        <v>273</v>
      </c>
      <c r="G721" s="138">
        <v>2</v>
      </c>
      <c r="H721" s="138">
        <v>3</v>
      </c>
      <c r="I721" s="129">
        <v>1501.5</v>
      </c>
      <c r="J721" s="129">
        <v>1386.8</v>
      </c>
      <c r="K721" s="129">
        <v>1250.54</v>
      </c>
      <c r="L721" s="139">
        <v>57</v>
      </c>
      <c r="M721" s="138" t="s">
        <v>271</v>
      </c>
      <c r="N721" s="138" t="s">
        <v>275</v>
      </c>
      <c r="O721" s="136" t="s">
        <v>336</v>
      </c>
      <c r="P721" s="130">
        <v>200000</v>
      </c>
      <c r="Q721" s="130">
        <v>0</v>
      </c>
      <c r="R721" s="130">
        <v>0</v>
      </c>
      <c r="S721" s="130">
        <f t="shared" si="199"/>
        <v>200000</v>
      </c>
      <c r="T721" s="130">
        <f t="shared" si="200"/>
        <v>133.20013320013319</v>
      </c>
      <c r="U721" s="130">
        <v>133.20013320013319</v>
      </c>
    </row>
    <row r="722" spans="1:21" s="64" customFormat="1" ht="36" customHeight="1" x14ac:dyDescent="0.9">
      <c r="A722" s="64">
        <v>1</v>
      </c>
      <c r="B722" s="96">
        <f>SUBTOTAL(103,$A$561:A722)</f>
        <v>160</v>
      </c>
      <c r="C722" s="94" t="s">
        <v>444</v>
      </c>
      <c r="D722" s="138">
        <v>1961</v>
      </c>
      <c r="E722" s="138"/>
      <c r="F722" s="167" t="s">
        <v>273</v>
      </c>
      <c r="G722" s="138">
        <v>2</v>
      </c>
      <c r="H722" s="138">
        <v>1</v>
      </c>
      <c r="I722" s="129">
        <v>646.49</v>
      </c>
      <c r="J722" s="129">
        <v>588.49</v>
      </c>
      <c r="K722" s="129">
        <v>588.49</v>
      </c>
      <c r="L722" s="139">
        <v>29</v>
      </c>
      <c r="M722" s="138" t="s">
        <v>271</v>
      </c>
      <c r="N722" s="138" t="s">
        <v>272</v>
      </c>
      <c r="O722" s="136" t="s">
        <v>274</v>
      </c>
      <c r="P722" s="130">
        <v>150000</v>
      </c>
      <c r="Q722" s="130">
        <v>0</v>
      </c>
      <c r="R722" s="130">
        <v>0</v>
      </c>
      <c r="S722" s="130">
        <f t="shared" si="199"/>
        <v>150000</v>
      </c>
      <c r="T722" s="130">
        <f t="shared" si="200"/>
        <v>232.02215038128972</v>
      </c>
      <c r="U722" s="130">
        <v>232.02215038128972</v>
      </c>
    </row>
    <row r="723" spans="1:21" s="64" customFormat="1" ht="36" customHeight="1" x14ac:dyDescent="0.9">
      <c r="A723" s="64">
        <v>1</v>
      </c>
      <c r="B723" s="96">
        <f>SUBTOTAL(103,$A$561:A723)</f>
        <v>161</v>
      </c>
      <c r="C723" s="94" t="s">
        <v>445</v>
      </c>
      <c r="D723" s="138">
        <v>1969</v>
      </c>
      <c r="E723" s="138"/>
      <c r="F723" s="167" t="s">
        <v>273</v>
      </c>
      <c r="G723" s="138">
        <v>5</v>
      </c>
      <c r="H723" s="138">
        <v>6</v>
      </c>
      <c r="I723" s="129">
        <v>4890.1099999999997</v>
      </c>
      <c r="J723" s="129">
        <v>4432.68</v>
      </c>
      <c r="K723" s="129">
        <v>4177.2300000000005</v>
      </c>
      <c r="L723" s="139">
        <v>212</v>
      </c>
      <c r="M723" s="138" t="s">
        <v>271</v>
      </c>
      <c r="N723" s="138" t="s">
        <v>275</v>
      </c>
      <c r="O723" s="136" t="s">
        <v>329</v>
      </c>
      <c r="P723" s="130">
        <v>180000</v>
      </c>
      <c r="Q723" s="130">
        <v>0</v>
      </c>
      <c r="R723" s="130">
        <v>0</v>
      </c>
      <c r="S723" s="130">
        <f t="shared" si="199"/>
        <v>180000</v>
      </c>
      <c r="T723" s="130">
        <f t="shared" si="200"/>
        <v>36.808987936876676</v>
      </c>
      <c r="U723" s="130">
        <v>36.808987936876676</v>
      </c>
    </row>
    <row r="724" spans="1:21" s="64" customFormat="1" ht="36" customHeight="1" x14ac:dyDescent="0.9">
      <c r="A724" s="64">
        <v>1</v>
      </c>
      <c r="B724" s="96">
        <f>SUBTOTAL(103,$A$561:A724)</f>
        <v>162</v>
      </c>
      <c r="C724" s="94" t="s">
        <v>446</v>
      </c>
      <c r="D724" s="138">
        <v>1961</v>
      </c>
      <c r="E724" s="138"/>
      <c r="F724" s="167" t="s">
        <v>273</v>
      </c>
      <c r="G724" s="138">
        <v>2</v>
      </c>
      <c r="H724" s="138">
        <v>2</v>
      </c>
      <c r="I724" s="129">
        <v>824.68999999999994</v>
      </c>
      <c r="J724" s="129">
        <v>778.39</v>
      </c>
      <c r="K724" s="129">
        <v>728.73</v>
      </c>
      <c r="L724" s="139">
        <v>49</v>
      </c>
      <c r="M724" s="138" t="s">
        <v>271</v>
      </c>
      <c r="N724" s="138" t="s">
        <v>275</v>
      </c>
      <c r="O724" s="136" t="s">
        <v>333</v>
      </c>
      <c r="P724" s="130">
        <v>150000</v>
      </c>
      <c r="Q724" s="130">
        <v>0</v>
      </c>
      <c r="R724" s="130">
        <v>0</v>
      </c>
      <c r="S724" s="130">
        <f t="shared" si="199"/>
        <v>150000</v>
      </c>
      <c r="T724" s="130">
        <f t="shared" si="200"/>
        <v>181.88652705865235</v>
      </c>
      <c r="U724" s="130">
        <v>181.88652705865235</v>
      </c>
    </row>
    <row r="725" spans="1:21" s="64" customFormat="1" ht="36" customHeight="1" x14ac:dyDescent="0.9">
      <c r="A725" s="64">
        <v>1</v>
      </c>
      <c r="B725" s="96">
        <f>SUBTOTAL(103,$A$561:A725)</f>
        <v>163</v>
      </c>
      <c r="C725" s="94" t="s">
        <v>447</v>
      </c>
      <c r="D725" s="138">
        <v>1980</v>
      </c>
      <c r="E725" s="138"/>
      <c r="F725" s="167" t="s">
        <v>273</v>
      </c>
      <c r="G725" s="138">
        <v>5</v>
      </c>
      <c r="H725" s="138">
        <v>2</v>
      </c>
      <c r="I725" s="129">
        <v>1589.4</v>
      </c>
      <c r="J725" s="129">
        <v>1176.4000000000001</v>
      </c>
      <c r="K725" s="129">
        <v>1117.8000000000002</v>
      </c>
      <c r="L725" s="139">
        <v>65</v>
      </c>
      <c r="M725" s="138" t="s">
        <v>271</v>
      </c>
      <c r="N725" s="138" t="s">
        <v>275</v>
      </c>
      <c r="O725" s="136" t="s">
        <v>333</v>
      </c>
      <c r="P725" s="130">
        <v>120000</v>
      </c>
      <c r="Q725" s="130">
        <v>0</v>
      </c>
      <c r="R725" s="130">
        <v>0</v>
      </c>
      <c r="S725" s="130">
        <f t="shared" si="199"/>
        <v>120000</v>
      </c>
      <c r="T725" s="130">
        <f t="shared" si="200"/>
        <v>75.500188750471878</v>
      </c>
      <c r="U725" s="130">
        <v>75.500188750471878</v>
      </c>
    </row>
    <row r="726" spans="1:21" s="64" customFormat="1" ht="36" customHeight="1" x14ac:dyDescent="0.9">
      <c r="A726" s="64">
        <v>1</v>
      </c>
      <c r="B726" s="96">
        <f>SUBTOTAL(103,$A$561:A726)</f>
        <v>164</v>
      </c>
      <c r="C726" s="94" t="s">
        <v>209</v>
      </c>
      <c r="D726" s="138">
        <v>1983</v>
      </c>
      <c r="E726" s="138"/>
      <c r="F726" s="167" t="s">
        <v>273</v>
      </c>
      <c r="G726" s="138">
        <v>5</v>
      </c>
      <c r="H726" s="138">
        <v>4</v>
      </c>
      <c r="I726" s="129">
        <v>3097.1</v>
      </c>
      <c r="J726" s="129">
        <v>2810.6</v>
      </c>
      <c r="K726" s="129">
        <v>2810.6</v>
      </c>
      <c r="L726" s="139">
        <v>127</v>
      </c>
      <c r="M726" s="138" t="s">
        <v>271</v>
      </c>
      <c r="N726" s="138" t="s">
        <v>275</v>
      </c>
      <c r="O726" s="136" t="s">
        <v>1052</v>
      </c>
      <c r="P726" s="130">
        <v>150000</v>
      </c>
      <c r="Q726" s="130">
        <v>0</v>
      </c>
      <c r="R726" s="130">
        <v>0</v>
      </c>
      <c r="S726" s="130">
        <f t="shared" si="199"/>
        <v>150000</v>
      </c>
      <c r="T726" s="130">
        <f t="shared" si="200"/>
        <v>48.432404507442449</v>
      </c>
      <c r="U726" s="130">
        <v>48.432404507442449</v>
      </c>
    </row>
    <row r="727" spans="1:21" s="64" customFormat="1" ht="36" customHeight="1" x14ac:dyDescent="0.9">
      <c r="A727" s="64">
        <v>1</v>
      </c>
      <c r="B727" s="96">
        <f>SUBTOTAL(103,$A$561:A727)</f>
        <v>165</v>
      </c>
      <c r="C727" s="94" t="s">
        <v>210</v>
      </c>
      <c r="D727" s="138">
        <v>1963</v>
      </c>
      <c r="E727" s="138"/>
      <c r="F727" s="167" t="s">
        <v>273</v>
      </c>
      <c r="G727" s="138">
        <v>2</v>
      </c>
      <c r="H727" s="138">
        <v>2</v>
      </c>
      <c r="I727" s="129">
        <v>490.8</v>
      </c>
      <c r="J727" s="129">
        <v>442.2</v>
      </c>
      <c r="K727" s="129">
        <v>442.2</v>
      </c>
      <c r="L727" s="139">
        <v>19</v>
      </c>
      <c r="M727" s="138" t="s">
        <v>271</v>
      </c>
      <c r="N727" s="138" t="s">
        <v>275</v>
      </c>
      <c r="O727" s="136" t="s">
        <v>334</v>
      </c>
      <c r="P727" s="130">
        <v>70000</v>
      </c>
      <c r="Q727" s="130">
        <v>0</v>
      </c>
      <c r="R727" s="130">
        <v>0</v>
      </c>
      <c r="S727" s="130">
        <f t="shared" si="199"/>
        <v>70000</v>
      </c>
      <c r="T727" s="130">
        <f t="shared" si="200"/>
        <v>142.62428687856561</v>
      </c>
      <c r="U727" s="130">
        <v>142.62428687856561</v>
      </c>
    </row>
    <row r="728" spans="1:21" s="64" customFormat="1" ht="36" customHeight="1" x14ac:dyDescent="0.9">
      <c r="A728" s="64">
        <v>1</v>
      </c>
      <c r="B728" s="96">
        <f>SUBTOTAL(103,$A$561:A728)</f>
        <v>166</v>
      </c>
      <c r="C728" s="94" t="s">
        <v>211</v>
      </c>
      <c r="D728" s="138">
        <v>1969</v>
      </c>
      <c r="E728" s="138"/>
      <c r="F728" s="167" t="s">
        <v>273</v>
      </c>
      <c r="G728" s="138">
        <v>2</v>
      </c>
      <c r="H728" s="138">
        <v>2</v>
      </c>
      <c r="I728" s="129">
        <v>640.40000000000009</v>
      </c>
      <c r="J728" s="129">
        <v>589.20000000000005</v>
      </c>
      <c r="K728" s="129">
        <v>537.5</v>
      </c>
      <c r="L728" s="139">
        <v>31</v>
      </c>
      <c r="M728" s="138" t="s">
        <v>271</v>
      </c>
      <c r="N728" s="138" t="s">
        <v>275</v>
      </c>
      <c r="O728" s="136" t="s">
        <v>334</v>
      </c>
      <c r="P728" s="130">
        <v>70000</v>
      </c>
      <c r="Q728" s="130">
        <v>0</v>
      </c>
      <c r="R728" s="130">
        <v>0</v>
      </c>
      <c r="S728" s="130">
        <f t="shared" si="199"/>
        <v>70000</v>
      </c>
      <c r="T728" s="130">
        <f t="shared" si="200"/>
        <v>109.30668332292316</v>
      </c>
      <c r="U728" s="130">
        <v>109.30668332292316</v>
      </c>
    </row>
    <row r="729" spans="1:21" s="64" customFormat="1" ht="36" customHeight="1" x14ac:dyDescent="0.9">
      <c r="A729" s="64">
        <v>1</v>
      </c>
      <c r="B729" s="96">
        <f>SUBTOTAL(103,$A$561:A729)</f>
        <v>167</v>
      </c>
      <c r="C729" s="94" t="s">
        <v>212</v>
      </c>
      <c r="D729" s="138">
        <v>1966</v>
      </c>
      <c r="E729" s="138"/>
      <c r="F729" s="167" t="s">
        <v>273</v>
      </c>
      <c r="G729" s="138">
        <v>2</v>
      </c>
      <c r="H729" s="138">
        <v>2</v>
      </c>
      <c r="I729" s="129">
        <v>781.6</v>
      </c>
      <c r="J729" s="129">
        <v>719.9</v>
      </c>
      <c r="K729" s="129">
        <v>670.3</v>
      </c>
      <c r="L729" s="139">
        <v>25</v>
      </c>
      <c r="M729" s="138" t="s">
        <v>271</v>
      </c>
      <c r="N729" s="138" t="s">
        <v>275</v>
      </c>
      <c r="O729" s="136" t="s">
        <v>334</v>
      </c>
      <c r="P729" s="130">
        <v>70000</v>
      </c>
      <c r="Q729" s="130">
        <v>0</v>
      </c>
      <c r="R729" s="130">
        <v>0</v>
      </c>
      <c r="S729" s="130">
        <f t="shared" si="199"/>
        <v>70000</v>
      </c>
      <c r="T729" s="130">
        <f t="shared" si="200"/>
        <v>89.559877175025591</v>
      </c>
      <c r="U729" s="130">
        <v>89.559877175025591</v>
      </c>
    </row>
    <row r="730" spans="1:21" s="64" customFormat="1" ht="36" customHeight="1" x14ac:dyDescent="0.9">
      <c r="A730" s="64">
        <v>1</v>
      </c>
      <c r="B730" s="96">
        <f>SUBTOTAL(103,$A$561:A730)</f>
        <v>168</v>
      </c>
      <c r="C730" s="94" t="s">
        <v>448</v>
      </c>
      <c r="D730" s="138">
        <v>1963</v>
      </c>
      <c r="E730" s="138"/>
      <c r="F730" s="167" t="s">
        <v>273</v>
      </c>
      <c r="G730" s="138">
        <v>4</v>
      </c>
      <c r="H730" s="138">
        <v>3</v>
      </c>
      <c r="I730" s="129">
        <v>2141.94</v>
      </c>
      <c r="J730" s="129">
        <v>1753.08</v>
      </c>
      <c r="K730" s="129">
        <v>1544.6799999999998</v>
      </c>
      <c r="L730" s="139">
        <v>61</v>
      </c>
      <c r="M730" s="138" t="s">
        <v>271</v>
      </c>
      <c r="N730" s="138" t="s">
        <v>275</v>
      </c>
      <c r="O730" s="136" t="s">
        <v>1052</v>
      </c>
      <c r="P730" s="130">
        <v>180000</v>
      </c>
      <c r="Q730" s="130">
        <v>0</v>
      </c>
      <c r="R730" s="130">
        <v>0</v>
      </c>
      <c r="S730" s="130">
        <f t="shared" si="199"/>
        <v>180000</v>
      </c>
      <c r="T730" s="130">
        <f t="shared" si="200"/>
        <v>84.035967394044647</v>
      </c>
      <c r="U730" s="130">
        <v>84.035967394044647</v>
      </c>
    </row>
    <row r="731" spans="1:21" s="64" customFormat="1" ht="36" customHeight="1" x14ac:dyDescent="0.9">
      <c r="A731" s="64">
        <v>1</v>
      </c>
      <c r="B731" s="96">
        <f>SUBTOTAL(103,$A$561:A731)</f>
        <v>169</v>
      </c>
      <c r="C731" s="94" t="s">
        <v>449</v>
      </c>
      <c r="D731" s="138">
        <v>1974</v>
      </c>
      <c r="E731" s="138"/>
      <c r="F731" s="167" t="s">
        <v>273</v>
      </c>
      <c r="G731" s="138">
        <v>9</v>
      </c>
      <c r="H731" s="138">
        <v>2</v>
      </c>
      <c r="I731" s="129">
        <v>5409.4</v>
      </c>
      <c r="J731" s="129">
        <v>4377.3999999999996</v>
      </c>
      <c r="K731" s="129">
        <v>4227.7</v>
      </c>
      <c r="L731" s="139">
        <v>190</v>
      </c>
      <c r="M731" s="138" t="s">
        <v>271</v>
      </c>
      <c r="N731" s="138" t="s">
        <v>275</v>
      </c>
      <c r="O731" s="136" t="s">
        <v>1052</v>
      </c>
      <c r="P731" s="130">
        <v>100000</v>
      </c>
      <c r="Q731" s="130">
        <v>0</v>
      </c>
      <c r="R731" s="130">
        <v>0</v>
      </c>
      <c r="S731" s="130">
        <f t="shared" si="199"/>
        <v>100000</v>
      </c>
      <c r="T731" s="130">
        <f t="shared" si="200"/>
        <v>18.48633859577772</v>
      </c>
      <c r="U731" s="130">
        <v>18.48633859577772</v>
      </c>
    </row>
    <row r="732" spans="1:21" s="64" customFormat="1" ht="36" customHeight="1" x14ac:dyDescent="0.9">
      <c r="A732" s="64">
        <v>1</v>
      </c>
      <c r="B732" s="96">
        <f>SUBTOTAL(103,$A$561:A732)</f>
        <v>170</v>
      </c>
      <c r="C732" s="94" t="s">
        <v>450</v>
      </c>
      <c r="D732" s="138">
        <v>1958</v>
      </c>
      <c r="E732" s="138"/>
      <c r="F732" s="167" t="s">
        <v>273</v>
      </c>
      <c r="G732" s="138">
        <v>2</v>
      </c>
      <c r="H732" s="138">
        <v>2</v>
      </c>
      <c r="I732" s="129">
        <v>717.8</v>
      </c>
      <c r="J732" s="129">
        <v>649.4</v>
      </c>
      <c r="K732" s="129">
        <v>507.29999999999995</v>
      </c>
      <c r="L732" s="139">
        <v>47</v>
      </c>
      <c r="M732" s="138" t="s">
        <v>271</v>
      </c>
      <c r="N732" s="138" t="s">
        <v>275</v>
      </c>
      <c r="O732" s="136" t="s">
        <v>333</v>
      </c>
      <c r="P732" s="130">
        <v>150000</v>
      </c>
      <c r="Q732" s="130">
        <v>0</v>
      </c>
      <c r="R732" s="130">
        <v>0</v>
      </c>
      <c r="S732" s="130">
        <f t="shared" si="199"/>
        <v>150000</v>
      </c>
      <c r="T732" s="130">
        <f t="shared" si="200"/>
        <v>208.97185845639456</v>
      </c>
      <c r="U732" s="130">
        <v>208.97185845639456</v>
      </c>
    </row>
    <row r="733" spans="1:21" s="64" customFormat="1" ht="36" customHeight="1" x14ac:dyDescent="0.9">
      <c r="A733" s="64">
        <v>1</v>
      </c>
      <c r="B733" s="96">
        <f>SUBTOTAL(103,$A$561:A733)</f>
        <v>171</v>
      </c>
      <c r="C733" s="94" t="s">
        <v>451</v>
      </c>
      <c r="D733" s="138">
        <v>1956</v>
      </c>
      <c r="E733" s="138"/>
      <c r="F733" s="167" t="s">
        <v>332</v>
      </c>
      <c r="G733" s="138">
        <v>2</v>
      </c>
      <c r="H733" s="138">
        <v>3</v>
      </c>
      <c r="I733" s="129">
        <v>1239.2</v>
      </c>
      <c r="J733" s="129">
        <v>932.1</v>
      </c>
      <c r="K733" s="129">
        <v>643.79999999999995</v>
      </c>
      <c r="L733" s="139">
        <v>44</v>
      </c>
      <c r="M733" s="138" t="s">
        <v>271</v>
      </c>
      <c r="N733" s="138" t="s">
        <v>275</v>
      </c>
      <c r="O733" s="136" t="s">
        <v>329</v>
      </c>
      <c r="P733" s="130">
        <v>150000</v>
      </c>
      <c r="Q733" s="130">
        <v>0</v>
      </c>
      <c r="R733" s="130">
        <v>0</v>
      </c>
      <c r="S733" s="130">
        <f t="shared" si="199"/>
        <v>150000</v>
      </c>
      <c r="T733" s="130">
        <f t="shared" si="200"/>
        <v>121.0458360232408</v>
      </c>
      <c r="U733" s="130">
        <v>121.0458360232408</v>
      </c>
    </row>
    <row r="734" spans="1:21" s="64" customFormat="1" ht="36" customHeight="1" x14ac:dyDescent="0.9">
      <c r="A734" s="64">
        <v>1</v>
      </c>
      <c r="B734" s="96">
        <f>SUBTOTAL(103,$A$561:A734)</f>
        <v>172</v>
      </c>
      <c r="C734" s="94" t="s">
        <v>452</v>
      </c>
      <c r="D734" s="138">
        <v>1968</v>
      </c>
      <c r="E734" s="138"/>
      <c r="F734" s="167" t="s">
        <v>273</v>
      </c>
      <c r="G734" s="138">
        <v>3</v>
      </c>
      <c r="H734" s="138">
        <v>2</v>
      </c>
      <c r="I734" s="129">
        <v>1032.5</v>
      </c>
      <c r="J734" s="129">
        <v>644</v>
      </c>
      <c r="K734" s="129">
        <v>445.9</v>
      </c>
      <c r="L734" s="139">
        <v>76</v>
      </c>
      <c r="M734" s="138" t="s">
        <v>271</v>
      </c>
      <c r="N734" s="138" t="s">
        <v>275</v>
      </c>
      <c r="O734" s="136" t="s">
        <v>336</v>
      </c>
      <c r="P734" s="130">
        <v>120000</v>
      </c>
      <c r="Q734" s="130">
        <v>0</v>
      </c>
      <c r="R734" s="130">
        <v>0</v>
      </c>
      <c r="S734" s="130">
        <f t="shared" si="199"/>
        <v>120000</v>
      </c>
      <c r="T734" s="130">
        <f t="shared" si="200"/>
        <v>116.22276029055691</v>
      </c>
      <c r="U734" s="130">
        <v>116.22276029055691</v>
      </c>
    </row>
    <row r="735" spans="1:21" s="64" customFormat="1" ht="36" customHeight="1" x14ac:dyDescent="0.9">
      <c r="A735" s="64">
        <v>1</v>
      </c>
      <c r="B735" s="96">
        <f>SUBTOTAL(103,$A$561:A735)</f>
        <v>173</v>
      </c>
      <c r="C735" s="94" t="s">
        <v>453</v>
      </c>
      <c r="D735" s="138">
        <v>1969</v>
      </c>
      <c r="E735" s="138"/>
      <c r="F735" s="167" t="s">
        <v>273</v>
      </c>
      <c r="G735" s="138">
        <v>5</v>
      </c>
      <c r="H735" s="138">
        <v>6</v>
      </c>
      <c r="I735" s="129">
        <v>5048.3000000000011</v>
      </c>
      <c r="J735" s="129">
        <v>4487.6000000000004</v>
      </c>
      <c r="K735" s="129">
        <v>3957.13</v>
      </c>
      <c r="L735" s="139">
        <v>204</v>
      </c>
      <c r="M735" s="138" t="s">
        <v>271</v>
      </c>
      <c r="N735" s="138" t="s">
        <v>275</v>
      </c>
      <c r="O735" s="136" t="s">
        <v>336</v>
      </c>
      <c r="P735" s="130">
        <v>180000</v>
      </c>
      <c r="Q735" s="130">
        <v>0</v>
      </c>
      <c r="R735" s="130">
        <v>0</v>
      </c>
      <c r="S735" s="130">
        <f t="shared" si="199"/>
        <v>180000</v>
      </c>
      <c r="T735" s="130">
        <f t="shared" si="200"/>
        <v>35.655567220648528</v>
      </c>
      <c r="U735" s="130">
        <v>35.655567220648528</v>
      </c>
    </row>
    <row r="736" spans="1:21" s="64" customFormat="1" ht="36" customHeight="1" x14ac:dyDescent="0.9">
      <c r="A736" s="64">
        <v>1</v>
      </c>
      <c r="B736" s="96">
        <f>SUBTOTAL(103,$A$561:A736)</f>
        <v>174</v>
      </c>
      <c r="C736" s="94" t="s">
        <v>454</v>
      </c>
      <c r="D736" s="138">
        <v>1943</v>
      </c>
      <c r="E736" s="138"/>
      <c r="F736" s="167" t="s">
        <v>273</v>
      </c>
      <c r="G736" s="138">
        <v>2</v>
      </c>
      <c r="H736" s="138">
        <v>2</v>
      </c>
      <c r="I736" s="129">
        <v>715.9</v>
      </c>
      <c r="J736" s="129">
        <v>646.9</v>
      </c>
      <c r="K736" s="129">
        <v>547.55999999999995</v>
      </c>
      <c r="L736" s="139">
        <v>35</v>
      </c>
      <c r="M736" s="138" t="s">
        <v>271</v>
      </c>
      <c r="N736" s="138" t="s">
        <v>275</v>
      </c>
      <c r="O736" s="136" t="s">
        <v>333</v>
      </c>
      <c r="P736" s="130">
        <v>150000</v>
      </c>
      <c r="Q736" s="130">
        <v>0</v>
      </c>
      <c r="R736" s="130">
        <v>0</v>
      </c>
      <c r="S736" s="130">
        <f t="shared" si="199"/>
        <v>150000</v>
      </c>
      <c r="T736" s="130">
        <f t="shared" si="200"/>
        <v>209.52647017739909</v>
      </c>
      <c r="U736" s="130">
        <v>209.52647017739909</v>
      </c>
    </row>
    <row r="737" spans="1:21" s="64" customFormat="1" ht="36" customHeight="1" x14ac:dyDescent="0.9">
      <c r="A737" s="64">
        <v>1</v>
      </c>
      <c r="B737" s="96">
        <f>SUBTOTAL(103,$A$561:A737)</f>
        <v>175</v>
      </c>
      <c r="C737" s="94" t="s">
        <v>455</v>
      </c>
      <c r="D737" s="138">
        <v>1917</v>
      </c>
      <c r="E737" s="138"/>
      <c r="F737" s="167" t="s">
        <v>338</v>
      </c>
      <c r="G737" s="138">
        <v>2</v>
      </c>
      <c r="H737" s="138">
        <v>2</v>
      </c>
      <c r="I737" s="129">
        <v>643.4</v>
      </c>
      <c r="J737" s="129">
        <v>521.79999999999995</v>
      </c>
      <c r="K737" s="129">
        <v>423.09999999999997</v>
      </c>
      <c r="L737" s="139">
        <v>21</v>
      </c>
      <c r="M737" s="138" t="s">
        <v>271</v>
      </c>
      <c r="N737" s="138" t="s">
        <v>275</v>
      </c>
      <c r="O737" s="136" t="s">
        <v>329</v>
      </c>
      <c r="P737" s="130">
        <v>120000</v>
      </c>
      <c r="Q737" s="130">
        <v>0</v>
      </c>
      <c r="R737" s="130">
        <v>0</v>
      </c>
      <c r="S737" s="130">
        <f t="shared" si="199"/>
        <v>120000</v>
      </c>
      <c r="T737" s="130">
        <f t="shared" si="200"/>
        <v>186.50917003419335</v>
      </c>
      <c r="U737" s="130">
        <v>186.50917003419335</v>
      </c>
    </row>
    <row r="738" spans="1:21" s="64" customFormat="1" ht="36" customHeight="1" x14ac:dyDescent="0.9">
      <c r="A738" s="64">
        <v>1</v>
      </c>
      <c r="B738" s="96">
        <f>SUBTOTAL(103,$A$561:A738)</f>
        <v>176</v>
      </c>
      <c r="C738" s="94" t="s">
        <v>214</v>
      </c>
      <c r="D738" s="138">
        <v>1967</v>
      </c>
      <c r="E738" s="138"/>
      <c r="F738" s="167" t="s">
        <v>273</v>
      </c>
      <c r="G738" s="138">
        <v>2</v>
      </c>
      <c r="H738" s="138">
        <v>2</v>
      </c>
      <c r="I738" s="129">
        <v>678.4</v>
      </c>
      <c r="J738" s="129">
        <v>629.79999999999995</v>
      </c>
      <c r="K738" s="129">
        <v>589.79999999999995</v>
      </c>
      <c r="L738" s="139">
        <v>37</v>
      </c>
      <c r="M738" s="138" t="s">
        <v>271</v>
      </c>
      <c r="N738" s="138" t="s">
        <v>275</v>
      </c>
      <c r="O738" s="136" t="s">
        <v>335</v>
      </c>
      <c r="P738" s="130">
        <v>150000</v>
      </c>
      <c r="Q738" s="130">
        <v>0</v>
      </c>
      <c r="R738" s="130">
        <v>0</v>
      </c>
      <c r="S738" s="130">
        <f t="shared" si="199"/>
        <v>150000</v>
      </c>
      <c r="T738" s="130">
        <f t="shared" si="200"/>
        <v>221.10849056603774</v>
      </c>
      <c r="U738" s="130">
        <v>221.10849056603774</v>
      </c>
    </row>
    <row r="739" spans="1:21" s="64" customFormat="1" ht="36" customHeight="1" x14ac:dyDescent="0.9">
      <c r="A739" s="64">
        <v>1</v>
      </c>
      <c r="B739" s="96">
        <f>SUBTOTAL(103,$A$561:A739)</f>
        <v>177</v>
      </c>
      <c r="C739" s="94" t="s">
        <v>213</v>
      </c>
      <c r="D739" s="138">
        <v>1975</v>
      </c>
      <c r="E739" s="138"/>
      <c r="F739" s="167" t="s">
        <v>273</v>
      </c>
      <c r="G739" s="138">
        <v>2</v>
      </c>
      <c r="H739" s="138">
        <v>2</v>
      </c>
      <c r="I739" s="129">
        <v>817.4</v>
      </c>
      <c r="J739" s="129">
        <v>756.3</v>
      </c>
      <c r="K739" s="129">
        <v>652</v>
      </c>
      <c r="L739" s="139">
        <v>43</v>
      </c>
      <c r="M739" s="138" t="s">
        <v>271</v>
      </c>
      <c r="N739" s="138" t="s">
        <v>275</v>
      </c>
      <c r="O739" s="136" t="s">
        <v>335</v>
      </c>
      <c r="P739" s="130">
        <v>150000</v>
      </c>
      <c r="Q739" s="130">
        <v>0</v>
      </c>
      <c r="R739" s="130">
        <v>0</v>
      </c>
      <c r="S739" s="130">
        <f t="shared" si="199"/>
        <v>150000</v>
      </c>
      <c r="T739" s="130">
        <f t="shared" si="200"/>
        <v>183.50868607780768</v>
      </c>
      <c r="U739" s="130">
        <v>183.50868607780768</v>
      </c>
    </row>
    <row r="740" spans="1:21" s="64" customFormat="1" ht="36" customHeight="1" x14ac:dyDescent="0.9">
      <c r="A740" s="64">
        <v>1</v>
      </c>
      <c r="B740" s="96">
        <f>SUBTOTAL(103,$A$561:A740)</f>
        <v>178</v>
      </c>
      <c r="C740" s="94" t="s">
        <v>456</v>
      </c>
      <c r="D740" s="138">
        <v>1994</v>
      </c>
      <c r="E740" s="138"/>
      <c r="F740" s="167" t="s">
        <v>319</v>
      </c>
      <c r="G740" s="138">
        <v>9</v>
      </c>
      <c r="H740" s="138">
        <v>2</v>
      </c>
      <c r="I740" s="129">
        <v>4306.3</v>
      </c>
      <c r="J740" s="129">
        <v>3871</v>
      </c>
      <c r="K740" s="129">
        <v>3511.4</v>
      </c>
      <c r="L740" s="139">
        <v>173</v>
      </c>
      <c r="M740" s="138" t="s">
        <v>271</v>
      </c>
      <c r="N740" s="138" t="s">
        <v>275</v>
      </c>
      <c r="O740" s="136" t="s">
        <v>329</v>
      </c>
      <c r="P740" s="130">
        <v>100000</v>
      </c>
      <c r="Q740" s="130">
        <v>0</v>
      </c>
      <c r="R740" s="130">
        <v>0</v>
      </c>
      <c r="S740" s="130">
        <f t="shared" si="199"/>
        <v>100000</v>
      </c>
      <c r="T740" s="130">
        <f t="shared" si="200"/>
        <v>23.221791328983116</v>
      </c>
      <c r="U740" s="130">
        <v>23.221791328983116</v>
      </c>
    </row>
    <row r="741" spans="1:21" s="64" customFormat="1" ht="36" customHeight="1" x14ac:dyDescent="0.9">
      <c r="A741" s="64">
        <v>1</v>
      </c>
      <c r="B741" s="96">
        <f>SUBTOTAL(103,$A$561:A741)</f>
        <v>179</v>
      </c>
      <c r="C741" s="94" t="s">
        <v>457</v>
      </c>
      <c r="D741" s="138">
        <v>1950</v>
      </c>
      <c r="E741" s="138"/>
      <c r="F741" s="167" t="s">
        <v>273</v>
      </c>
      <c r="G741" s="138">
        <v>2</v>
      </c>
      <c r="H741" s="138">
        <v>1</v>
      </c>
      <c r="I741" s="129">
        <v>411.15</v>
      </c>
      <c r="J741" s="129">
        <v>369.45</v>
      </c>
      <c r="K741" s="129">
        <v>369.45</v>
      </c>
      <c r="L741" s="139">
        <v>17</v>
      </c>
      <c r="M741" s="138" t="s">
        <v>271</v>
      </c>
      <c r="N741" s="138" t="s">
        <v>275</v>
      </c>
      <c r="O741" s="136" t="s">
        <v>329</v>
      </c>
      <c r="P741" s="130">
        <v>120000</v>
      </c>
      <c r="Q741" s="130">
        <v>0</v>
      </c>
      <c r="R741" s="130">
        <v>0</v>
      </c>
      <c r="S741" s="130">
        <f t="shared" si="199"/>
        <v>120000</v>
      </c>
      <c r="T741" s="130">
        <f t="shared" si="200"/>
        <v>291.86428310835464</v>
      </c>
      <c r="U741" s="130">
        <v>291.86428310835464</v>
      </c>
    </row>
    <row r="742" spans="1:21" s="64" customFormat="1" ht="36" customHeight="1" x14ac:dyDescent="0.9">
      <c r="A742" s="64">
        <v>1</v>
      </c>
      <c r="B742" s="96">
        <f>SUBTOTAL(103,$A$561:A742)</f>
        <v>180</v>
      </c>
      <c r="C742" s="94" t="s">
        <v>458</v>
      </c>
      <c r="D742" s="138">
        <v>1966</v>
      </c>
      <c r="E742" s="138"/>
      <c r="F742" s="167" t="s">
        <v>273</v>
      </c>
      <c r="G742" s="138">
        <v>2</v>
      </c>
      <c r="H742" s="138">
        <v>2</v>
      </c>
      <c r="I742" s="129">
        <v>667.6</v>
      </c>
      <c r="J742" s="129">
        <v>626.5</v>
      </c>
      <c r="K742" s="129">
        <v>586.70000000000005</v>
      </c>
      <c r="L742" s="139">
        <v>37</v>
      </c>
      <c r="M742" s="138" t="s">
        <v>271</v>
      </c>
      <c r="N742" s="138" t="s">
        <v>275</v>
      </c>
      <c r="O742" s="136" t="s">
        <v>335</v>
      </c>
      <c r="P742" s="130">
        <v>150000</v>
      </c>
      <c r="Q742" s="130">
        <v>0</v>
      </c>
      <c r="R742" s="130">
        <v>0</v>
      </c>
      <c r="S742" s="130">
        <f t="shared" si="199"/>
        <v>150000</v>
      </c>
      <c r="T742" s="130">
        <f t="shared" si="200"/>
        <v>224.68544038346315</v>
      </c>
      <c r="U742" s="130">
        <v>224.68544038346315</v>
      </c>
    </row>
    <row r="743" spans="1:21" s="64" customFormat="1" ht="36" customHeight="1" x14ac:dyDescent="0.9">
      <c r="A743" s="64">
        <v>1</v>
      </c>
      <c r="B743" s="96">
        <f>SUBTOTAL(103,$A$561:A743)</f>
        <v>181</v>
      </c>
      <c r="C743" s="94" t="s">
        <v>459</v>
      </c>
      <c r="D743" s="138">
        <v>1977</v>
      </c>
      <c r="E743" s="138"/>
      <c r="F743" s="167" t="s">
        <v>273</v>
      </c>
      <c r="G743" s="138">
        <v>9</v>
      </c>
      <c r="H743" s="138">
        <v>1</v>
      </c>
      <c r="I743" s="129">
        <v>2576</v>
      </c>
      <c r="J743" s="129">
        <v>2212.6999999999998</v>
      </c>
      <c r="K743" s="129">
        <v>2123.6999999999998</v>
      </c>
      <c r="L743" s="139">
        <v>106</v>
      </c>
      <c r="M743" s="138" t="s">
        <v>271</v>
      </c>
      <c r="N743" s="138" t="s">
        <v>275</v>
      </c>
      <c r="O743" s="136" t="s">
        <v>335</v>
      </c>
      <c r="P743" s="130">
        <v>120000</v>
      </c>
      <c r="Q743" s="130">
        <v>0</v>
      </c>
      <c r="R743" s="130">
        <v>0</v>
      </c>
      <c r="S743" s="130">
        <f t="shared" si="199"/>
        <v>120000</v>
      </c>
      <c r="T743" s="130">
        <f t="shared" si="200"/>
        <v>46.58385093167702</v>
      </c>
      <c r="U743" s="130">
        <v>46.58385093167702</v>
      </c>
    </row>
    <row r="744" spans="1:21" s="64" customFormat="1" ht="36" customHeight="1" x14ac:dyDescent="0.9">
      <c r="A744" s="64">
        <v>1</v>
      </c>
      <c r="B744" s="96">
        <f>SUBTOTAL(103,$A$561:A744)</f>
        <v>182</v>
      </c>
      <c r="C744" s="94" t="s">
        <v>857</v>
      </c>
      <c r="D744" s="138">
        <v>1988</v>
      </c>
      <c r="E744" s="138"/>
      <c r="F744" s="167" t="s">
        <v>273</v>
      </c>
      <c r="G744" s="138">
        <v>9</v>
      </c>
      <c r="H744" s="138">
        <v>3</v>
      </c>
      <c r="I744" s="129">
        <v>6719</v>
      </c>
      <c r="J744" s="129">
        <v>5795.4</v>
      </c>
      <c r="K744" s="129">
        <v>5264.2</v>
      </c>
      <c r="L744" s="139">
        <v>304</v>
      </c>
      <c r="M744" s="138" t="s">
        <v>271</v>
      </c>
      <c r="N744" s="138" t="s">
        <v>275</v>
      </c>
      <c r="O744" s="136" t="s">
        <v>1033</v>
      </c>
      <c r="P744" s="130">
        <v>100000</v>
      </c>
      <c r="Q744" s="130">
        <v>0</v>
      </c>
      <c r="R744" s="130">
        <v>0</v>
      </c>
      <c r="S744" s="130">
        <f t="shared" si="199"/>
        <v>100000</v>
      </c>
      <c r="T744" s="130">
        <f t="shared" si="200"/>
        <v>14.883167137966959</v>
      </c>
      <c r="U744" s="130">
        <v>14.883167137966959</v>
      </c>
    </row>
    <row r="745" spans="1:21" s="64" customFormat="1" ht="36" customHeight="1" x14ac:dyDescent="0.9">
      <c r="B745" s="94" t="s">
        <v>803</v>
      </c>
      <c r="C745" s="94"/>
      <c r="D745" s="138" t="s">
        <v>934</v>
      </c>
      <c r="E745" s="138" t="s">
        <v>934</v>
      </c>
      <c r="F745" s="138" t="s">
        <v>934</v>
      </c>
      <c r="G745" s="138" t="s">
        <v>934</v>
      </c>
      <c r="H745" s="138" t="s">
        <v>934</v>
      </c>
      <c r="I745" s="129">
        <f>SUM(I746:I765)</f>
        <v>71756.509999999995</v>
      </c>
      <c r="J745" s="129">
        <f t="shared" ref="J745:L745" si="201">SUM(J746:J765)</f>
        <v>53302.6</v>
      </c>
      <c r="K745" s="129">
        <f t="shared" si="201"/>
        <v>51720.299999999996</v>
      </c>
      <c r="L745" s="139">
        <f t="shared" si="201"/>
        <v>2297</v>
      </c>
      <c r="M745" s="138" t="s">
        <v>934</v>
      </c>
      <c r="N745" s="138" t="s">
        <v>934</v>
      </c>
      <c r="O745" s="136" t="s">
        <v>934</v>
      </c>
      <c r="P745" s="129">
        <v>43029746.93</v>
      </c>
      <c r="Q745" s="129">
        <f t="shared" ref="Q745:S745" si="202">SUM(Q746:Q765)</f>
        <v>0</v>
      </c>
      <c r="R745" s="129">
        <f t="shared" si="202"/>
        <v>0</v>
      </c>
      <c r="S745" s="129">
        <f t="shared" si="202"/>
        <v>43029746.93</v>
      </c>
      <c r="T745" s="130">
        <f t="shared" si="200"/>
        <v>599.66331877065932</v>
      </c>
      <c r="U745" s="130">
        <f>MAX(U746:U765)</f>
        <v>3291.019644970414</v>
      </c>
    </row>
    <row r="746" spans="1:21" s="64" customFormat="1" ht="36" customHeight="1" x14ac:dyDescent="0.9">
      <c r="A746" s="64">
        <v>1</v>
      </c>
      <c r="B746" s="96">
        <f>SUBTOTAL(103,$A$561:A746)</f>
        <v>183</v>
      </c>
      <c r="C746" s="94" t="s">
        <v>816</v>
      </c>
      <c r="D746" s="138">
        <v>1959</v>
      </c>
      <c r="E746" s="138"/>
      <c r="F746" s="167" t="s">
        <v>344</v>
      </c>
      <c r="G746" s="138">
        <v>3</v>
      </c>
      <c r="H746" s="138">
        <v>2</v>
      </c>
      <c r="I746" s="129">
        <v>1267.5</v>
      </c>
      <c r="J746" s="129">
        <v>1160</v>
      </c>
      <c r="K746" s="129">
        <v>785.9</v>
      </c>
      <c r="L746" s="139">
        <v>31</v>
      </c>
      <c r="M746" s="138" t="s">
        <v>271</v>
      </c>
      <c r="N746" s="138" t="s">
        <v>272</v>
      </c>
      <c r="O746" s="136" t="s">
        <v>274</v>
      </c>
      <c r="P746" s="130">
        <v>3593042</v>
      </c>
      <c r="Q746" s="130">
        <v>0</v>
      </c>
      <c r="R746" s="130">
        <v>0</v>
      </c>
      <c r="S746" s="130">
        <f t="shared" ref="S746:S765" si="203">P746-Q746-R746</f>
        <v>3593042</v>
      </c>
      <c r="T746" s="130">
        <f t="shared" si="200"/>
        <v>2834.7471400394479</v>
      </c>
      <c r="U746" s="130">
        <v>3291.019644970414</v>
      </c>
    </row>
    <row r="747" spans="1:21" s="64" customFormat="1" ht="36" customHeight="1" x14ac:dyDescent="0.9">
      <c r="A747" s="64">
        <v>1</v>
      </c>
      <c r="B747" s="96">
        <f>SUBTOTAL(103,$A$561:A747)</f>
        <v>184</v>
      </c>
      <c r="C747" s="94" t="s">
        <v>817</v>
      </c>
      <c r="D747" s="138">
        <v>1992</v>
      </c>
      <c r="E747" s="138"/>
      <c r="F747" s="167" t="s">
        <v>326</v>
      </c>
      <c r="G747" s="138">
        <v>9</v>
      </c>
      <c r="H747" s="138">
        <v>3</v>
      </c>
      <c r="I747" s="129">
        <v>8073.1</v>
      </c>
      <c r="J747" s="129">
        <v>5829</v>
      </c>
      <c r="K747" s="129">
        <v>5829</v>
      </c>
      <c r="L747" s="139">
        <v>241</v>
      </c>
      <c r="M747" s="138" t="s">
        <v>271</v>
      </c>
      <c r="N747" s="138" t="s">
        <v>275</v>
      </c>
      <c r="O747" s="136" t="s">
        <v>844</v>
      </c>
      <c r="P747" s="130">
        <v>6429744.8300000001</v>
      </c>
      <c r="Q747" s="130">
        <v>0</v>
      </c>
      <c r="R747" s="130">
        <v>0</v>
      </c>
      <c r="S747" s="130">
        <f t="shared" si="203"/>
        <v>6429744.8300000001</v>
      </c>
      <c r="T747" s="130">
        <f t="shared" si="200"/>
        <v>796.44062751607191</v>
      </c>
      <c r="U747" s="130">
        <v>835.47943169290602</v>
      </c>
    </row>
    <row r="748" spans="1:21" s="64" customFormat="1" ht="36" customHeight="1" x14ac:dyDescent="0.9">
      <c r="A748" s="64">
        <v>1</v>
      </c>
      <c r="B748" s="96">
        <f>SUBTOTAL(103,$A$561:A748)</f>
        <v>185</v>
      </c>
      <c r="C748" s="94" t="s">
        <v>818</v>
      </c>
      <c r="D748" s="138">
        <v>1993</v>
      </c>
      <c r="E748" s="138"/>
      <c r="F748" s="167" t="s">
        <v>326</v>
      </c>
      <c r="G748" s="138">
        <v>9</v>
      </c>
      <c r="H748" s="138">
        <v>4</v>
      </c>
      <c r="I748" s="129">
        <v>11047.1</v>
      </c>
      <c r="J748" s="129">
        <v>7851.2</v>
      </c>
      <c r="K748" s="129">
        <v>7851.2</v>
      </c>
      <c r="L748" s="139">
        <v>267</v>
      </c>
      <c r="M748" s="138" t="s">
        <v>271</v>
      </c>
      <c r="N748" s="138" t="s">
        <v>275</v>
      </c>
      <c r="O748" s="136" t="s">
        <v>850</v>
      </c>
      <c r="P748" s="130">
        <v>8572796.0600000005</v>
      </c>
      <c r="Q748" s="130">
        <v>0</v>
      </c>
      <c r="R748" s="130">
        <v>0</v>
      </c>
      <c r="S748" s="130">
        <f t="shared" si="203"/>
        <v>8572796.0600000005</v>
      </c>
      <c r="T748" s="130">
        <f t="shared" si="200"/>
        <v>776.0223099274923</v>
      </c>
      <c r="U748" s="130">
        <v>814.0789890559513</v>
      </c>
    </row>
    <row r="749" spans="1:21" s="64" customFormat="1" ht="36" customHeight="1" x14ac:dyDescent="0.9">
      <c r="A749" s="64">
        <v>1</v>
      </c>
      <c r="B749" s="96">
        <f>SUBTOTAL(103,$A$561:A749)</f>
        <v>186</v>
      </c>
      <c r="C749" s="94" t="s">
        <v>1143</v>
      </c>
      <c r="D749" s="138">
        <v>1960</v>
      </c>
      <c r="E749" s="138"/>
      <c r="F749" s="167" t="s">
        <v>273</v>
      </c>
      <c r="G749" s="138">
        <v>3</v>
      </c>
      <c r="H749" s="138">
        <v>2</v>
      </c>
      <c r="I749" s="129">
        <v>1377.9</v>
      </c>
      <c r="J749" s="129">
        <v>966.6</v>
      </c>
      <c r="K749" s="129">
        <v>966.6</v>
      </c>
      <c r="L749" s="139">
        <v>28</v>
      </c>
      <c r="M749" s="138" t="s">
        <v>271</v>
      </c>
      <c r="N749" s="138" t="s">
        <v>272</v>
      </c>
      <c r="O749" s="136" t="s">
        <v>274</v>
      </c>
      <c r="P749" s="130">
        <v>2932000</v>
      </c>
      <c r="Q749" s="130">
        <v>0</v>
      </c>
      <c r="R749" s="130">
        <v>0</v>
      </c>
      <c r="S749" s="130">
        <f t="shared" si="203"/>
        <v>2932000</v>
      </c>
      <c r="T749" s="130">
        <f t="shared" si="200"/>
        <v>2127.8757529573986</v>
      </c>
      <c r="U749" s="130">
        <v>2588.5923506785684</v>
      </c>
    </row>
    <row r="750" spans="1:21" s="64" customFormat="1" ht="36" customHeight="1" x14ac:dyDescent="0.9">
      <c r="A750" s="64">
        <v>1</v>
      </c>
      <c r="B750" s="96">
        <f>SUBTOTAL(103,$A$561:A750)</f>
        <v>187</v>
      </c>
      <c r="C750" s="94" t="s">
        <v>820</v>
      </c>
      <c r="D750" s="138">
        <v>1994</v>
      </c>
      <c r="E750" s="138"/>
      <c r="F750" s="167" t="s">
        <v>326</v>
      </c>
      <c r="G750" s="138">
        <v>9</v>
      </c>
      <c r="H750" s="138">
        <v>2</v>
      </c>
      <c r="I750" s="129">
        <v>4866.8599999999997</v>
      </c>
      <c r="J750" s="129">
        <v>3886.2</v>
      </c>
      <c r="K750" s="129">
        <v>3886.2</v>
      </c>
      <c r="L750" s="139">
        <v>159</v>
      </c>
      <c r="M750" s="138" t="s">
        <v>271</v>
      </c>
      <c r="N750" s="138" t="s">
        <v>275</v>
      </c>
      <c r="O750" s="136" t="s">
        <v>846</v>
      </c>
      <c r="P750" s="130">
        <v>4286989.16</v>
      </c>
      <c r="Q750" s="130">
        <v>0</v>
      </c>
      <c r="R750" s="130">
        <v>0</v>
      </c>
      <c r="S750" s="130">
        <f t="shared" si="203"/>
        <v>4286989.16</v>
      </c>
      <c r="T750" s="130">
        <f t="shared" si="200"/>
        <v>880.85319076365465</v>
      </c>
      <c r="U750" s="130">
        <v>923.92343317868199</v>
      </c>
    </row>
    <row r="751" spans="1:21" s="64" customFormat="1" ht="36" customHeight="1" x14ac:dyDescent="0.9">
      <c r="A751" s="64">
        <v>1</v>
      </c>
      <c r="B751" s="96">
        <f>SUBTOTAL(103,$A$561:A751)</f>
        <v>188</v>
      </c>
      <c r="C751" s="94" t="s">
        <v>821</v>
      </c>
      <c r="D751" s="138">
        <v>1966</v>
      </c>
      <c r="E751" s="138"/>
      <c r="F751" s="167" t="s">
        <v>273</v>
      </c>
      <c r="G751" s="138">
        <v>4</v>
      </c>
      <c r="H751" s="138">
        <v>4</v>
      </c>
      <c r="I751" s="129">
        <v>3436.5</v>
      </c>
      <c r="J751" s="129">
        <v>2673</v>
      </c>
      <c r="K751" s="129">
        <v>2483.9</v>
      </c>
      <c r="L751" s="139">
        <v>109</v>
      </c>
      <c r="M751" s="138" t="s">
        <v>271</v>
      </c>
      <c r="N751" s="138" t="s">
        <v>275</v>
      </c>
      <c r="O751" s="136" t="s">
        <v>846</v>
      </c>
      <c r="P751" s="130">
        <v>5501631.04</v>
      </c>
      <c r="Q751" s="130">
        <v>0</v>
      </c>
      <c r="R751" s="130">
        <v>0</v>
      </c>
      <c r="S751" s="130">
        <f t="shared" si="203"/>
        <v>5501631.04</v>
      </c>
      <c r="T751" s="130">
        <f t="shared" si="200"/>
        <v>1600.9402124254329</v>
      </c>
      <c r="U751" s="130">
        <v>2030.1064571511713</v>
      </c>
    </row>
    <row r="752" spans="1:21" s="64" customFormat="1" ht="36" customHeight="1" x14ac:dyDescent="0.9">
      <c r="A752" s="64">
        <v>1</v>
      </c>
      <c r="B752" s="96">
        <f>SUBTOTAL(103,$A$561:A752)</f>
        <v>189</v>
      </c>
      <c r="C752" s="94" t="s">
        <v>822</v>
      </c>
      <c r="D752" s="138">
        <v>1992</v>
      </c>
      <c r="E752" s="138"/>
      <c r="F752" s="167" t="s">
        <v>326</v>
      </c>
      <c r="G752" s="138">
        <v>9</v>
      </c>
      <c r="H752" s="138">
        <v>2</v>
      </c>
      <c r="I752" s="129">
        <v>4929.04</v>
      </c>
      <c r="J752" s="129">
        <v>3924.5</v>
      </c>
      <c r="K752" s="129">
        <v>3924.5</v>
      </c>
      <c r="L752" s="139">
        <v>180</v>
      </c>
      <c r="M752" s="138" t="s">
        <v>271</v>
      </c>
      <c r="N752" s="138" t="s">
        <v>275</v>
      </c>
      <c r="O752" s="136" t="s">
        <v>851</v>
      </c>
      <c r="P752" s="130">
        <v>4286989.16</v>
      </c>
      <c r="Q752" s="130">
        <v>0</v>
      </c>
      <c r="R752" s="130">
        <v>0</v>
      </c>
      <c r="S752" s="130">
        <f t="shared" si="203"/>
        <v>4286989.16</v>
      </c>
      <c r="T752" s="130">
        <f t="shared" si="200"/>
        <v>869.74119909759304</v>
      </c>
      <c r="U752" s="130">
        <v>912.26810900297016</v>
      </c>
    </row>
    <row r="753" spans="1:21" s="64" customFormat="1" ht="36" customHeight="1" x14ac:dyDescent="0.9">
      <c r="A753" s="64">
        <v>1</v>
      </c>
      <c r="B753" s="96">
        <f>SUBTOTAL(103,$A$561:A753)</f>
        <v>190</v>
      </c>
      <c r="C753" s="94" t="s">
        <v>823</v>
      </c>
      <c r="D753" s="138">
        <v>1990</v>
      </c>
      <c r="E753" s="138"/>
      <c r="F753" s="167" t="s">
        <v>273</v>
      </c>
      <c r="G753" s="138">
        <v>9</v>
      </c>
      <c r="H753" s="138">
        <v>1</v>
      </c>
      <c r="I753" s="129">
        <v>5846.4</v>
      </c>
      <c r="J753" s="129">
        <v>4863.8999999999996</v>
      </c>
      <c r="K753" s="129">
        <v>4863.8999999999996</v>
      </c>
      <c r="L753" s="139">
        <v>374</v>
      </c>
      <c r="M753" s="138" t="s">
        <v>271</v>
      </c>
      <c r="N753" s="138" t="s">
        <v>275</v>
      </c>
      <c r="O753" s="136" t="s">
        <v>852</v>
      </c>
      <c r="P753" s="130">
        <v>2216554.6800000002</v>
      </c>
      <c r="Q753" s="130">
        <v>0</v>
      </c>
      <c r="R753" s="130">
        <v>0</v>
      </c>
      <c r="S753" s="130">
        <f t="shared" si="203"/>
        <v>2216554.6800000002</v>
      </c>
      <c r="T753" s="130">
        <f t="shared" si="200"/>
        <v>379.13154761904769</v>
      </c>
      <c r="U753" s="130">
        <v>384.56195265462509</v>
      </c>
    </row>
    <row r="754" spans="1:21" s="64" customFormat="1" ht="36" customHeight="1" x14ac:dyDescent="0.9">
      <c r="A754" s="64">
        <v>1</v>
      </c>
      <c r="B754" s="96">
        <f>SUBTOTAL(103,$A$561:A754)</f>
        <v>191</v>
      </c>
      <c r="C754" s="94" t="s">
        <v>1702</v>
      </c>
      <c r="D754" s="138">
        <v>1980</v>
      </c>
      <c r="E754" s="138"/>
      <c r="F754" s="167" t="s">
        <v>273</v>
      </c>
      <c r="G754" s="138">
        <v>5</v>
      </c>
      <c r="H754" s="138">
        <v>1</v>
      </c>
      <c r="I754" s="129">
        <v>2427.5</v>
      </c>
      <c r="J754" s="129">
        <v>2065.6999999999998</v>
      </c>
      <c r="K754" s="129">
        <f>J754-430.2</f>
        <v>1635.4999999999998</v>
      </c>
      <c r="L754" s="139">
        <v>58</v>
      </c>
      <c r="M754" s="138" t="s">
        <v>271</v>
      </c>
      <c r="N754" s="138" t="s">
        <v>272</v>
      </c>
      <c r="O754" s="136" t="s">
        <v>274</v>
      </c>
      <c r="P754" s="130">
        <v>3890000</v>
      </c>
      <c r="Q754" s="130">
        <v>0</v>
      </c>
      <c r="R754" s="130">
        <v>0</v>
      </c>
      <c r="S754" s="130">
        <f t="shared" si="203"/>
        <v>3890000</v>
      </c>
      <c r="T754" s="130">
        <f t="shared" si="200"/>
        <v>1602.4716786817714</v>
      </c>
      <c r="U754" s="130">
        <v>1673.56</v>
      </c>
    </row>
    <row r="755" spans="1:21" s="64" customFormat="1" ht="36" customHeight="1" x14ac:dyDescent="0.9">
      <c r="A755" s="64">
        <v>1</v>
      </c>
      <c r="B755" s="96">
        <f>SUBTOTAL(103,$A$561:A755)</f>
        <v>192</v>
      </c>
      <c r="C755" s="94" t="s">
        <v>825</v>
      </c>
      <c r="D755" s="138">
        <v>1961</v>
      </c>
      <c r="E755" s="138"/>
      <c r="F755" s="167" t="s">
        <v>273</v>
      </c>
      <c r="G755" s="138">
        <v>3</v>
      </c>
      <c r="H755" s="138">
        <v>2</v>
      </c>
      <c r="I755" s="129">
        <v>1044</v>
      </c>
      <c r="J755" s="129">
        <v>968.1</v>
      </c>
      <c r="K755" s="129">
        <v>968.1</v>
      </c>
      <c r="L755" s="139">
        <v>46</v>
      </c>
      <c r="M755" s="138" t="s">
        <v>271</v>
      </c>
      <c r="N755" s="138" t="s">
        <v>275</v>
      </c>
      <c r="O755" s="136" t="s">
        <v>844</v>
      </c>
      <c r="P755" s="130">
        <v>110000</v>
      </c>
      <c r="Q755" s="130">
        <v>0</v>
      </c>
      <c r="R755" s="130">
        <v>0</v>
      </c>
      <c r="S755" s="130">
        <f t="shared" si="203"/>
        <v>110000</v>
      </c>
      <c r="T755" s="130">
        <f t="shared" si="200"/>
        <v>105.3639846743295</v>
      </c>
      <c r="U755" s="130">
        <v>105.3639846743295</v>
      </c>
    </row>
    <row r="756" spans="1:21" s="64" customFormat="1" ht="36" customHeight="1" x14ac:dyDescent="0.9">
      <c r="A756" s="64">
        <v>1</v>
      </c>
      <c r="B756" s="96">
        <f>SUBTOTAL(103,$A$561:A756)</f>
        <v>193</v>
      </c>
      <c r="C756" s="94" t="s">
        <v>826</v>
      </c>
      <c r="D756" s="138">
        <v>1960</v>
      </c>
      <c r="E756" s="138"/>
      <c r="F756" s="167" t="s">
        <v>273</v>
      </c>
      <c r="G756" s="138">
        <v>2</v>
      </c>
      <c r="H756" s="138">
        <v>2</v>
      </c>
      <c r="I756" s="129">
        <v>711.5</v>
      </c>
      <c r="J756" s="129">
        <v>515.1</v>
      </c>
      <c r="K756" s="129">
        <v>515.1</v>
      </c>
      <c r="L756" s="139">
        <v>13</v>
      </c>
      <c r="M756" s="138" t="s">
        <v>271</v>
      </c>
      <c r="N756" s="138" t="s">
        <v>272</v>
      </c>
      <c r="O756" s="136" t="s">
        <v>274</v>
      </c>
      <c r="P756" s="130">
        <v>110000</v>
      </c>
      <c r="Q756" s="130">
        <v>0</v>
      </c>
      <c r="R756" s="130">
        <v>0</v>
      </c>
      <c r="S756" s="130">
        <f t="shared" si="203"/>
        <v>110000</v>
      </c>
      <c r="T756" s="130">
        <f t="shared" si="200"/>
        <v>154.60295151089247</v>
      </c>
      <c r="U756" s="130">
        <v>154.60295151089247</v>
      </c>
    </row>
    <row r="757" spans="1:21" s="64" customFormat="1" ht="36" customHeight="1" x14ac:dyDescent="0.9">
      <c r="A757" s="64">
        <v>1</v>
      </c>
      <c r="B757" s="96">
        <f>SUBTOTAL(103,$A$561:A757)</f>
        <v>194</v>
      </c>
      <c r="C757" s="94" t="s">
        <v>1144</v>
      </c>
      <c r="D757" s="138">
        <v>1962</v>
      </c>
      <c r="E757" s="138"/>
      <c r="F757" s="167" t="s">
        <v>273</v>
      </c>
      <c r="G757" s="138">
        <v>4</v>
      </c>
      <c r="H757" s="138">
        <v>2</v>
      </c>
      <c r="I757" s="129">
        <v>1321.3</v>
      </c>
      <c r="J757" s="129">
        <v>1280</v>
      </c>
      <c r="K757" s="129">
        <v>975</v>
      </c>
      <c r="L757" s="139">
        <v>60</v>
      </c>
      <c r="M757" s="138" t="s">
        <v>271</v>
      </c>
      <c r="N757" s="138" t="s">
        <v>275</v>
      </c>
      <c r="O757" s="136" t="s">
        <v>848</v>
      </c>
      <c r="P757" s="130">
        <v>110000</v>
      </c>
      <c r="Q757" s="130">
        <v>0</v>
      </c>
      <c r="R757" s="130">
        <v>0</v>
      </c>
      <c r="S757" s="130">
        <f t="shared" si="203"/>
        <v>110000</v>
      </c>
      <c r="T757" s="130">
        <f t="shared" si="200"/>
        <v>83.251343373949894</v>
      </c>
      <c r="U757" s="130">
        <v>83.251343373949908</v>
      </c>
    </row>
    <row r="758" spans="1:21" s="64" customFormat="1" ht="36" customHeight="1" x14ac:dyDescent="0.9">
      <c r="A758" s="64">
        <v>1</v>
      </c>
      <c r="B758" s="96">
        <f>SUBTOTAL(103,$A$561:A758)</f>
        <v>195</v>
      </c>
      <c r="C758" s="94" t="s">
        <v>828</v>
      </c>
      <c r="D758" s="138">
        <v>1991</v>
      </c>
      <c r="E758" s="138"/>
      <c r="F758" s="167" t="s">
        <v>326</v>
      </c>
      <c r="G758" s="138">
        <v>9</v>
      </c>
      <c r="H758" s="138">
        <v>4</v>
      </c>
      <c r="I758" s="129">
        <v>10990.1</v>
      </c>
      <c r="J758" s="129">
        <v>7793.3</v>
      </c>
      <c r="K758" s="129">
        <v>7793.3</v>
      </c>
      <c r="L758" s="139">
        <v>318</v>
      </c>
      <c r="M758" s="138" t="s">
        <v>271</v>
      </c>
      <c r="N758" s="138" t="s">
        <v>275</v>
      </c>
      <c r="O758" s="136" t="s">
        <v>850</v>
      </c>
      <c r="P758" s="130">
        <v>120000</v>
      </c>
      <c r="Q758" s="130">
        <v>0</v>
      </c>
      <c r="R758" s="130">
        <v>0</v>
      </c>
      <c r="S758" s="130">
        <f t="shared" si="203"/>
        <v>120000</v>
      </c>
      <c r="T758" s="130">
        <f t="shared" si="200"/>
        <v>10.918917935232619</v>
      </c>
      <c r="U758" s="130">
        <v>10.918917935232619</v>
      </c>
    </row>
    <row r="759" spans="1:21" s="64" customFormat="1" ht="36" customHeight="1" x14ac:dyDescent="0.9">
      <c r="A759" s="64">
        <v>1</v>
      </c>
      <c r="B759" s="96">
        <f>SUBTOTAL(103,$A$561:A759)</f>
        <v>196</v>
      </c>
      <c r="C759" s="94" t="s">
        <v>830</v>
      </c>
      <c r="D759" s="138">
        <v>1937</v>
      </c>
      <c r="E759" s="138"/>
      <c r="F759" s="167" t="s">
        <v>273</v>
      </c>
      <c r="G759" s="138">
        <v>3</v>
      </c>
      <c r="H759" s="138">
        <v>4</v>
      </c>
      <c r="I759" s="129">
        <v>2758</v>
      </c>
      <c r="J759" s="129">
        <v>1462.7</v>
      </c>
      <c r="K759" s="129">
        <v>1347.2</v>
      </c>
      <c r="L759" s="139">
        <v>62</v>
      </c>
      <c r="M759" s="138" t="s">
        <v>271</v>
      </c>
      <c r="N759" s="138" t="s">
        <v>275</v>
      </c>
      <c r="O759" s="136" t="s">
        <v>848</v>
      </c>
      <c r="P759" s="130">
        <v>140000</v>
      </c>
      <c r="Q759" s="130">
        <v>0</v>
      </c>
      <c r="R759" s="130">
        <v>0</v>
      </c>
      <c r="S759" s="130">
        <f t="shared" si="203"/>
        <v>140000</v>
      </c>
      <c r="T759" s="130">
        <f t="shared" si="200"/>
        <v>50.761421319796952</v>
      </c>
      <c r="U759" s="130">
        <v>50.761421319796952</v>
      </c>
    </row>
    <row r="760" spans="1:21" s="64" customFormat="1" ht="36" customHeight="1" x14ac:dyDescent="0.9">
      <c r="A760" s="64">
        <v>1</v>
      </c>
      <c r="B760" s="96">
        <f>SUBTOTAL(103,$A$561:A760)</f>
        <v>197</v>
      </c>
      <c r="C760" s="94" t="s">
        <v>831</v>
      </c>
      <c r="D760" s="138">
        <v>1959</v>
      </c>
      <c r="E760" s="138"/>
      <c r="F760" s="167" t="s">
        <v>273</v>
      </c>
      <c r="G760" s="138">
        <v>4</v>
      </c>
      <c r="H760" s="138">
        <v>2</v>
      </c>
      <c r="I760" s="129">
        <v>1352</v>
      </c>
      <c r="J760" s="129">
        <v>809</v>
      </c>
      <c r="K760" s="129">
        <v>809</v>
      </c>
      <c r="L760" s="139">
        <v>67</v>
      </c>
      <c r="M760" s="138" t="s">
        <v>271</v>
      </c>
      <c r="N760" s="138" t="s">
        <v>275</v>
      </c>
      <c r="O760" s="136" t="s">
        <v>848</v>
      </c>
      <c r="P760" s="130">
        <v>110000</v>
      </c>
      <c r="Q760" s="130">
        <v>0</v>
      </c>
      <c r="R760" s="130">
        <v>0</v>
      </c>
      <c r="S760" s="130">
        <f t="shared" si="203"/>
        <v>110000</v>
      </c>
      <c r="T760" s="130">
        <f t="shared" si="200"/>
        <v>81.360946745562131</v>
      </c>
      <c r="U760" s="130">
        <v>81.360946745562131</v>
      </c>
    </row>
    <row r="761" spans="1:21" s="64" customFormat="1" ht="36" customHeight="1" x14ac:dyDescent="0.9">
      <c r="A761" s="64">
        <v>1</v>
      </c>
      <c r="B761" s="96">
        <f>SUBTOTAL(103,$A$561:A761)</f>
        <v>198</v>
      </c>
      <c r="C761" s="94" t="s">
        <v>832</v>
      </c>
      <c r="D761" s="138">
        <v>1965</v>
      </c>
      <c r="E761" s="138"/>
      <c r="F761" s="167" t="s">
        <v>273</v>
      </c>
      <c r="G761" s="138">
        <v>5</v>
      </c>
      <c r="H761" s="138">
        <v>2</v>
      </c>
      <c r="I761" s="129">
        <v>2042.45</v>
      </c>
      <c r="J761" s="129">
        <v>1565</v>
      </c>
      <c r="K761" s="129">
        <v>1565</v>
      </c>
      <c r="L761" s="139">
        <v>65</v>
      </c>
      <c r="M761" s="138" t="s">
        <v>271</v>
      </c>
      <c r="N761" s="138" t="s">
        <v>275</v>
      </c>
      <c r="O761" s="136" t="s">
        <v>846</v>
      </c>
      <c r="P761" s="130">
        <v>110000</v>
      </c>
      <c r="Q761" s="130">
        <v>0</v>
      </c>
      <c r="R761" s="130">
        <v>0</v>
      </c>
      <c r="S761" s="130">
        <f t="shared" si="203"/>
        <v>110000</v>
      </c>
      <c r="T761" s="130">
        <f t="shared" si="200"/>
        <v>53.856887561507016</v>
      </c>
      <c r="U761" s="130">
        <v>53.856887561507016</v>
      </c>
    </row>
    <row r="762" spans="1:21" s="64" customFormat="1" ht="36" customHeight="1" x14ac:dyDescent="0.9">
      <c r="A762" s="64">
        <v>1</v>
      </c>
      <c r="B762" s="96">
        <f>SUBTOTAL(103,$A$561:A762)</f>
        <v>199</v>
      </c>
      <c r="C762" s="94" t="s">
        <v>833</v>
      </c>
      <c r="D762" s="138">
        <v>1955</v>
      </c>
      <c r="E762" s="138"/>
      <c r="F762" s="167" t="s">
        <v>344</v>
      </c>
      <c r="G762" s="138">
        <v>2</v>
      </c>
      <c r="H762" s="138">
        <v>2</v>
      </c>
      <c r="I762" s="129">
        <v>685.7</v>
      </c>
      <c r="J762" s="129">
        <v>629.20000000000005</v>
      </c>
      <c r="K762" s="129">
        <v>629.20000000000005</v>
      </c>
      <c r="L762" s="139">
        <v>28</v>
      </c>
      <c r="M762" s="138" t="s">
        <v>271</v>
      </c>
      <c r="N762" s="138" t="s">
        <v>272</v>
      </c>
      <c r="O762" s="136" t="s">
        <v>274</v>
      </c>
      <c r="P762" s="130">
        <v>130000</v>
      </c>
      <c r="Q762" s="130">
        <v>0</v>
      </c>
      <c r="R762" s="130">
        <v>0</v>
      </c>
      <c r="S762" s="130">
        <f t="shared" si="203"/>
        <v>130000</v>
      </c>
      <c r="T762" s="130">
        <f t="shared" si="200"/>
        <v>189.58728306839726</v>
      </c>
      <c r="U762" s="130">
        <v>189.58728306839726</v>
      </c>
    </row>
    <row r="763" spans="1:21" s="64" customFormat="1" ht="36" customHeight="1" x14ac:dyDescent="0.9">
      <c r="A763" s="64">
        <v>1</v>
      </c>
      <c r="B763" s="96">
        <f>SUBTOTAL(103,$A$561:A763)</f>
        <v>200</v>
      </c>
      <c r="C763" s="94" t="s">
        <v>834</v>
      </c>
      <c r="D763" s="138">
        <v>1975</v>
      </c>
      <c r="E763" s="138"/>
      <c r="F763" s="167" t="s">
        <v>273</v>
      </c>
      <c r="G763" s="138">
        <v>5</v>
      </c>
      <c r="H763" s="138">
        <v>6</v>
      </c>
      <c r="I763" s="129">
        <v>6824.86</v>
      </c>
      <c r="J763" s="129">
        <v>4475.3</v>
      </c>
      <c r="K763" s="129">
        <v>4306.8999999999996</v>
      </c>
      <c r="L763" s="139">
        <v>160</v>
      </c>
      <c r="M763" s="138" t="s">
        <v>271</v>
      </c>
      <c r="N763" s="138" t="s">
        <v>275</v>
      </c>
      <c r="O763" s="136" t="s">
        <v>853</v>
      </c>
      <c r="P763" s="130">
        <v>200000</v>
      </c>
      <c r="Q763" s="130">
        <v>0</v>
      </c>
      <c r="R763" s="130">
        <v>0</v>
      </c>
      <c r="S763" s="130">
        <f t="shared" si="203"/>
        <v>200000</v>
      </c>
      <c r="T763" s="130">
        <f t="shared" si="200"/>
        <v>29.3046304246534</v>
      </c>
      <c r="U763" s="130">
        <v>29.3046304246534</v>
      </c>
    </row>
    <row r="764" spans="1:21" s="64" customFormat="1" ht="36" customHeight="1" x14ac:dyDescent="0.9">
      <c r="A764" s="64">
        <v>1</v>
      </c>
      <c r="B764" s="96">
        <f>SUBTOTAL(103,$A$561:A764)</f>
        <v>201</v>
      </c>
      <c r="C764" s="94" t="s">
        <v>856</v>
      </c>
      <c r="D764" s="138">
        <v>1959</v>
      </c>
      <c r="E764" s="138"/>
      <c r="F764" s="167" t="s">
        <v>273</v>
      </c>
      <c r="G764" s="138">
        <v>2</v>
      </c>
      <c r="H764" s="138">
        <v>1</v>
      </c>
      <c r="I764" s="129">
        <v>309.2</v>
      </c>
      <c r="J764" s="129">
        <v>287.5</v>
      </c>
      <c r="K764" s="129">
        <v>287.5</v>
      </c>
      <c r="L764" s="139">
        <v>14</v>
      </c>
      <c r="M764" s="138" t="s">
        <v>271</v>
      </c>
      <c r="N764" s="138" t="s">
        <v>275</v>
      </c>
      <c r="O764" s="136" t="s">
        <v>1032</v>
      </c>
      <c r="P764" s="130">
        <v>80000</v>
      </c>
      <c r="Q764" s="130">
        <v>0</v>
      </c>
      <c r="R764" s="130">
        <v>0</v>
      </c>
      <c r="S764" s="130">
        <f t="shared" si="203"/>
        <v>80000</v>
      </c>
      <c r="T764" s="130">
        <f t="shared" si="200"/>
        <v>258.73221216041401</v>
      </c>
      <c r="U764" s="130">
        <v>258.73221216041401</v>
      </c>
    </row>
    <row r="765" spans="1:21" s="64" customFormat="1" ht="36" customHeight="1" x14ac:dyDescent="0.9">
      <c r="A765" s="64">
        <v>1</v>
      </c>
      <c r="B765" s="96">
        <f>SUBTOTAL(103,$A$561:A765)</f>
        <v>202</v>
      </c>
      <c r="C765" s="94" t="s">
        <v>1703</v>
      </c>
      <c r="D765" s="138">
        <v>1958</v>
      </c>
      <c r="E765" s="138"/>
      <c r="F765" s="167" t="s">
        <v>273</v>
      </c>
      <c r="G765" s="138">
        <v>2</v>
      </c>
      <c r="H765" s="138">
        <v>2</v>
      </c>
      <c r="I765" s="129">
        <v>445.5</v>
      </c>
      <c r="J765" s="129">
        <v>297.3</v>
      </c>
      <c r="K765" s="129">
        <v>297.3</v>
      </c>
      <c r="L765" s="139">
        <v>17</v>
      </c>
      <c r="M765" s="138" t="s">
        <v>271</v>
      </c>
      <c r="N765" s="138" t="s">
        <v>272</v>
      </c>
      <c r="O765" s="136" t="s">
        <v>274</v>
      </c>
      <c r="P765" s="130">
        <v>100000</v>
      </c>
      <c r="Q765" s="130">
        <v>0</v>
      </c>
      <c r="R765" s="130">
        <v>0</v>
      </c>
      <c r="S765" s="130">
        <f t="shared" si="203"/>
        <v>100000</v>
      </c>
      <c r="T765" s="130">
        <f t="shared" si="200"/>
        <v>224.46689113355779</v>
      </c>
      <c r="U765" s="130">
        <f>T765</f>
        <v>224.46689113355779</v>
      </c>
    </row>
    <row r="766" spans="1:21" s="64" customFormat="1" ht="36" customHeight="1" x14ac:dyDescent="0.9">
      <c r="B766" s="94" t="s">
        <v>801</v>
      </c>
      <c r="C766" s="126"/>
      <c r="D766" s="138" t="s">
        <v>934</v>
      </c>
      <c r="E766" s="138" t="s">
        <v>934</v>
      </c>
      <c r="F766" s="138" t="s">
        <v>934</v>
      </c>
      <c r="G766" s="138" t="s">
        <v>934</v>
      </c>
      <c r="H766" s="138" t="s">
        <v>934</v>
      </c>
      <c r="I766" s="129">
        <f>SUM(I767:I769)</f>
        <v>16666.5</v>
      </c>
      <c r="J766" s="129">
        <f t="shared" ref="J766:L766" si="204">SUM(J767:J769)</f>
        <v>14898</v>
      </c>
      <c r="K766" s="129">
        <f t="shared" si="204"/>
        <v>14526.400000000001</v>
      </c>
      <c r="L766" s="139">
        <f t="shared" si="204"/>
        <v>711</v>
      </c>
      <c r="M766" s="138" t="s">
        <v>934</v>
      </c>
      <c r="N766" s="138" t="s">
        <v>934</v>
      </c>
      <c r="O766" s="136" t="s">
        <v>934</v>
      </c>
      <c r="P766" s="129">
        <v>21856214.649999999</v>
      </c>
      <c r="Q766" s="129">
        <f t="shared" ref="Q766:S766" si="205">SUM(Q767:Q769)</f>
        <v>0</v>
      </c>
      <c r="R766" s="129">
        <f t="shared" si="205"/>
        <v>0</v>
      </c>
      <c r="S766" s="129">
        <f t="shared" si="205"/>
        <v>21856214.649999999</v>
      </c>
      <c r="T766" s="130">
        <f t="shared" si="200"/>
        <v>1311.3859928599286</v>
      </c>
      <c r="U766" s="130">
        <f>MAX(U767:U769)</f>
        <v>4658.2193351822298</v>
      </c>
    </row>
    <row r="767" spans="1:21" s="64" customFormat="1" ht="36" customHeight="1" x14ac:dyDescent="0.9">
      <c r="A767" s="64">
        <v>1</v>
      </c>
      <c r="B767" s="96">
        <f>SUBTOTAL(103,$A$561:A767)</f>
        <v>203</v>
      </c>
      <c r="C767" s="94" t="s">
        <v>398</v>
      </c>
      <c r="D767" s="138">
        <v>1982</v>
      </c>
      <c r="E767" s="138">
        <v>2015</v>
      </c>
      <c r="F767" s="167" t="s">
        <v>319</v>
      </c>
      <c r="G767" s="138">
        <v>9</v>
      </c>
      <c r="H767" s="138">
        <v>4</v>
      </c>
      <c r="I767" s="129">
        <v>8597</v>
      </c>
      <c r="J767" s="129">
        <v>7716.1</v>
      </c>
      <c r="K767" s="129">
        <v>7419.5</v>
      </c>
      <c r="L767" s="139">
        <v>358</v>
      </c>
      <c r="M767" s="138" t="s">
        <v>271</v>
      </c>
      <c r="N767" s="138" t="s">
        <v>275</v>
      </c>
      <c r="O767" s="136" t="s">
        <v>327</v>
      </c>
      <c r="P767" s="130">
        <v>8993212</v>
      </c>
      <c r="Q767" s="130">
        <v>0</v>
      </c>
      <c r="R767" s="130">
        <v>0</v>
      </c>
      <c r="S767" s="130">
        <f t="shared" ref="S767:S769" si="206">P767-Q767-R767</f>
        <v>8993212</v>
      </c>
      <c r="T767" s="130">
        <f t="shared" si="200"/>
        <v>1046.0872397347912</v>
      </c>
      <c r="U767" s="130">
        <v>1046.0872397347912</v>
      </c>
    </row>
    <row r="768" spans="1:21" s="64" customFormat="1" ht="36" customHeight="1" x14ac:dyDescent="0.9">
      <c r="A768" s="64">
        <v>1</v>
      </c>
      <c r="B768" s="96">
        <f>SUBTOTAL(103,$A$561:A768)</f>
        <v>204</v>
      </c>
      <c r="C768" s="94" t="s">
        <v>399</v>
      </c>
      <c r="D768" s="138">
        <v>1981</v>
      </c>
      <c r="E768" s="138">
        <v>2016</v>
      </c>
      <c r="F768" s="167" t="s">
        <v>319</v>
      </c>
      <c r="G768" s="138">
        <v>12</v>
      </c>
      <c r="H768" s="138">
        <v>1</v>
      </c>
      <c r="I768" s="129">
        <v>4247.3999999999996</v>
      </c>
      <c r="J768" s="129">
        <v>3822</v>
      </c>
      <c r="K768" s="129">
        <v>3807.6</v>
      </c>
      <c r="L768" s="139">
        <v>185</v>
      </c>
      <c r="M768" s="138" t="s">
        <v>271</v>
      </c>
      <c r="N768" s="138" t="s">
        <v>275</v>
      </c>
      <c r="O768" s="136" t="s">
        <v>328</v>
      </c>
      <c r="P768" s="130">
        <v>7201018.8100000005</v>
      </c>
      <c r="Q768" s="130">
        <v>0</v>
      </c>
      <c r="R768" s="130">
        <v>0</v>
      </c>
      <c r="S768" s="130">
        <f t="shared" si="206"/>
        <v>7201018.8100000005</v>
      </c>
      <c r="T768" s="130">
        <f t="shared" si="200"/>
        <v>1695.3945496068186</v>
      </c>
      <c r="U768" s="130">
        <v>3929.63</v>
      </c>
    </row>
    <row r="769" spans="1:21" s="64" customFormat="1" ht="36" customHeight="1" x14ac:dyDescent="0.9">
      <c r="A769" s="64">
        <v>1</v>
      </c>
      <c r="B769" s="96">
        <f>SUBTOTAL(103,$A$561:A769)</f>
        <v>205</v>
      </c>
      <c r="C769" s="94" t="s">
        <v>400</v>
      </c>
      <c r="D769" s="138">
        <v>1973</v>
      </c>
      <c r="E769" s="138">
        <v>2017</v>
      </c>
      <c r="F769" s="167" t="s">
        <v>319</v>
      </c>
      <c r="G769" s="138">
        <v>5</v>
      </c>
      <c r="H769" s="138">
        <v>5</v>
      </c>
      <c r="I769" s="129">
        <v>3822.1</v>
      </c>
      <c r="J769" s="129">
        <v>3359.9</v>
      </c>
      <c r="K769" s="129">
        <v>3299.3</v>
      </c>
      <c r="L769" s="139">
        <v>168</v>
      </c>
      <c r="M769" s="138" t="s">
        <v>271</v>
      </c>
      <c r="N769" s="138" t="s">
        <v>275</v>
      </c>
      <c r="O769" s="136" t="s">
        <v>328</v>
      </c>
      <c r="P769" s="130">
        <v>5661983.8399999999</v>
      </c>
      <c r="Q769" s="130">
        <v>0</v>
      </c>
      <c r="R769" s="130">
        <v>0</v>
      </c>
      <c r="S769" s="130">
        <f t="shared" si="206"/>
        <v>5661983.8399999999</v>
      </c>
      <c r="T769" s="130">
        <f t="shared" si="200"/>
        <v>1481.3803511158787</v>
      </c>
      <c r="U769" s="130">
        <v>4658.2193351822298</v>
      </c>
    </row>
    <row r="770" spans="1:21" s="64" customFormat="1" ht="36" customHeight="1" x14ac:dyDescent="0.9">
      <c r="B770" s="94" t="s">
        <v>858</v>
      </c>
      <c r="C770" s="126"/>
      <c r="D770" s="138" t="s">
        <v>934</v>
      </c>
      <c r="E770" s="138" t="s">
        <v>934</v>
      </c>
      <c r="F770" s="138" t="s">
        <v>934</v>
      </c>
      <c r="G770" s="138" t="s">
        <v>934</v>
      </c>
      <c r="H770" s="138" t="s">
        <v>934</v>
      </c>
      <c r="I770" s="129">
        <f>SUM(I771:I783)</f>
        <v>31823.470000000005</v>
      </c>
      <c r="J770" s="129">
        <f t="shared" ref="J770:L770" si="207">SUM(J771:J783)</f>
        <v>15944.480000000001</v>
      </c>
      <c r="K770" s="129">
        <f t="shared" si="207"/>
        <v>15944.08</v>
      </c>
      <c r="L770" s="139">
        <f t="shared" si="207"/>
        <v>1112</v>
      </c>
      <c r="M770" s="138" t="s">
        <v>934</v>
      </c>
      <c r="N770" s="138" t="s">
        <v>934</v>
      </c>
      <c r="O770" s="136" t="s">
        <v>934</v>
      </c>
      <c r="P770" s="129">
        <v>55019080.369999997</v>
      </c>
      <c r="Q770" s="129">
        <f t="shared" ref="Q770:S770" si="208">SUM(Q771:Q783)</f>
        <v>0</v>
      </c>
      <c r="R770" s="129">
        <f t="shared" si="208"/>
        <v>0</v>
      </c>
      <c r="S770" s="129">
        <f t="shared" si="208"/>
        <v>55019080.369999997</v>
      </c>
      <c r="T770" s="130">
        <f t="shared" si="200"/>
        <v>1728.8837568624663</v>
      </c>
      <c r="U770" s="130">
        <f>MAX(U771:U783)</f>
        <v>9248.1736879265718</v>
      </c>
    </row>
    <row r="771" spans="1:21" s="64" customFormat="1" ht="36" customHeight="1" x14ac:dyDescent="0.9">
      <c r="A771" s="64">
        <v>1</v>
      </c>
      <c r="B771" s="96">
        <f>SUBTOTAL(103,$A$561:A771)</f>
        <v>206</v>
      </c>
      <c r="C771" s="94" t="s">
        <v>648</v>
      </c>
      <c r="D771" s="138">
        <v>1965</v>
      </c>
      <c r="E771" s="138"/>
      <c r="F771" s="167" t="s">
        <v>273</v>
      </c>
      <c r="G771" s="138">
        <v>5</v>
      </c>
      <c r="H771" s="138">
        <v>4</v>
      </c>
      <c r="I771" s="129">
        <v>4109.6000000000004</v>
      </c>
      <c r="J771" s="129">
        <v>3177</v>
      </c>
      <c r="K771" s="129">
        <v>3176.6</v>
      </c>
      <c r="L771" s="139">
        <v>137</v>
      </c>
      <c r="M771" s="138" t="s">
        <v>271</v>
      </c>
      <c r="N771" s="138" t="s">
        <v>275</v>
      </c>
      <c r="O771" s="136" t="s">
        <v>1149</v>
      </c>
      <c r="P771" s="130">
        <v>4335833</v>
      </c>
      <c r="Q771" s="130">
        <v>0</v>
      </c>
      <c r="R771" s="130">
        <v>0</v>
      </c>
      <c r="S771" s="130">
        <f t="shared" ref="S771:S782" si="209">P771-Q771-R771</f>
        <v>4335833</v>
      </c>
      <c r="T771" s="130">
        <f t="shared" si="200"/>
        <v>1055.0498832003113</v>
      </c>
      <c r="U771" s="130">
        <v>1137.1278421257543</v>
      </c>
    </row>
    <row r="772" spans="1:21" s="64" customFormat="1" ht="36" customHeight="1" x14ac:dyDescent="0.9">
      <c r="A772" s="64">
        <v>1</v>
      </c>
      <c r="B772" s="96">
        <f>SUBTOTAL(103,$A$561:A772)</f>
        <v>207</v>
      </c>
      <c r="C772" s="94" t="s">
        <v>649</v>
      </c>
      <c r="D772" s="138">
        <v>1987</v>
      </c>
      <c r="E772" s="138"/>
      <c r="F772" s="167" t="s">
        <v>273</v>
      </c>
      <c r="G772" s="138">
        <v>10</v>
      </c>
      <c r="H772" s="138">
        <v>1</v>
      </c>
      <c r="I772" s="129">
        <v>4233.46</v>
      </c>
      <c r="J772" s="129">
        <v>1997.7</v>
      </c>
      <c r="K772" s="129">
        <v>1997.7</v>
      </c>
      <c r="L772" s="139">
        <v>156</v>
      </c>
      <c r="M772" s="138" t="s">
        <v>271</v>
      </c>
      <c r="N772" s="138" t="s">
        <v>275</v>
      </c>
      <c r="O772" s="136" t="s">
        <v>748</v>
      </c>
      <c r="P772" s="130">
        <v>5909484.1499999994</v>
      </c>
      <c r="Q772" s="130">
        <v>0</v>
      </c>
      <c r="R772" s="130">
        <v>0</v>
      </c>
      <c r="S772" s="130">
        <f t="shared" si="209"/>
        <v>5909484.1499999994</v>
      </c>
      <c r="T772" s="130">
        <f t="shared" si="200"/>
        <v>1395.8993707274899</v>
      </c>
      <c r="U772" s="130">
        <v>1499.4196236648038</v>
      </c>
    </row>
    <row r="773" spans="1:21" s="64" customFormat="1" ht="36" customHeight="1" x14ac:dyDescent="0.9">
      <c r="A773" s="64">
        <v>1</v>
      </c>
      <c r="B773" s="96">
        <f>SUBTOTAL(103,$A$561:A773)</f>
        <v>208</v>
      </c>
      <c r="C773" s="94" t="s">
        <v>650</v>
      </c>
      <c r="D773" s="138">
        <v>1984</v>
      </c>
      <c r="E773" s="138"/>
      <c r="F773" s="167" t="s">
        <v>273</v>
      </c>
      <c r="G773" s="138">
        <v>2</v>
      </c>
      <c r="H773" s="138">
        <v>1</v>
      </c>
      <c r="I773" s="129">
        <v>3054.2</v>
      </c>
      <c r="J773" s="129">
        <v>560.29999999999995</v>
      </c>
      <c r="K773" s="129">
        <v>560.29999999999995</v>
      </c>
      <c r="L773" s="139">
        <v>31</v>
      </c>
      <c r="M773" s="138" t="s">
        <v>271</v>
      </c>
      <c r="N773" s="138" t="s">
        <v>275</v>
      </c>
      <c r="O773" s="136" t="s">
        <v>748</v>
      </c>
      <c r="P773" s="130">
        <v>4721220</v>
      </c>
      <c r="Q773" s="130">
        <v>0</v>
      </c>
      <c r="R773" s="130">
        <v>0</v>
      </c>
      <c r="S773" s="130">
        <f t="shared" si="209"/>
        <v>4721220</v>
      </c>
      <c r="T773" s="130">
        <f t="shared" si="200"/>
        <v>1545.8123240128348</v>
      </c>
      <c r="U773" s="130">
        <v>1870.5257350533693</v>
      </c>
    </row>
    <row r="774" spans="1:21" s="64" customFormat="1" ht="36" customHeight="1" x14ac:dyDescent="0.9">
      <c r="A774" s="64">
        <v>1</v>
      </c>
      <c r="B774" s="96">
        <f>SUBTOTAL(103,$A$561:A774)</f>
        <v>209</v>
      </c>
      <c r="C774" s="94" t="s">
        <v>655</v>
      </c>
      <c r="D774" s="138">
        <v>1955</v>
      </c>
      <c r="E774" s="138"/>
      <c r="F774" s="167" t="s">
        <v>273</v>
      </c>
      <c r="G774" s="138">
        <v>2</v>
      </c>
      <c r="H774" s="138">
        <v>1</v>
      </c>
      <c r="I774" s="129">
        <v>424.9</v>
      </c>
      <c r="J774" s="129">
        <v>377.6</v>
      </c>
      <c r="K774" s="129">
        <v>377.6</v>
      </c>
      <c r="L774" s="139">
        <v>21</v>
      </c>
      <c r="M774" s="138" t="s">
        <v>271</v>
      </c>
      <c r="N774" s="138" t="s">
        <v>272</v>
      </c>
      <c r="O774" s="136" t="s">
        <v>274</v>
      </c>
      <c r="P774" s="130">
        <v>3393650</v>
      </c>
      <c r="Q774" s="130">
        <v>0</v>
      </c>
      <c r="R774" s="130">
        <v>0</v>
      </c>
      <c r="S774" s="130">
        <f t="shared" si="209"/>
        <v>3393650</v>
      </c>
      <c r="T774" s="130">
        <f t="shared" si="200"/>
        <v>7986.9381030830791</v>
      </c>
      <c r="U774" s="130">
        <v>9248.1736879265718</v>
      </c>
    </row>
    <row r="775" spans="1:21" s="64" customFormat="1" ht="36" customHeight="1" x14ac:dyDescent="0.9">
      <c r="A775" s="64">
        <v>1</v>
      </c>
      <c r="B775" s="96">
        <f>SUBTOTAL(103,$A$561:A775)</f>
        <v>210</v>
      </c>
      <c r="C775" s="94" t="s">
        <v>656</v>
      </c>
      <c r="D775" s="138">
        <v>1965</v>
      </c>
      <c r="E775" s="138"/>
      <c r="F775" s="167" t="s">
        <v>273</v>
      </c>
      <c r="G775" s="138">
        <v>5</v>
      </c>
      <c r="H775" s="138">
        <v>2</v>
      </c>
      <c r="I775" s="129">
        <v>4398.3999999999996</v>
      </c>
      <c r="J775" s="129">
        <v>2300.6799999999998</v>
      </c>
      <c r="K775" s="129">
        <v>2300.6799999999998</v>
      </c>
      <c r="L775" s="139">
        <v>202</v>
      </c>
      <c r="M775" s="138" t="s">
        <v>271</v>
      </c>
      <c r="N775" s="138" t="s">
        <v>275</v>
      </c>
      <c r="O775" s="136" t="s">
        <v>1153</v>
      </c>
      <c r="P775" s="130">
        <v>5195840</v>
      </c>
      <c r="Q775" s="130">
        <v>0</v>
      </c>
      <c r="R775" s="130">
        <v>0</v>
      </c>
      <c r="S775" s="130">
        <f t="shared" si="209"/>
        <v>5195840</v>
      </c>
      <c r="T775" s="130">
        <f t="shared" si="200"/>
        <v>1181.3022917424519</v>
      </c>
      <c r="U775" s="130">
        <v>1429.4467078937798</v>
      </c>
    </row>
    <row r="776" spans="1:21" s="64" customFormat="1" ht="36" customHeight="1" x14ac:dyDescent="0.9">
      <c r="A776" s="64">
        <v>1</v>
      </c>
      <c r="B776" s="96">
        <f>SUBTOTAL(103,$A$561:A776)</f>
        <v>211</v>
      </c>
      <c r="C776" s="94" t="s">
        <v>654</v>
      </c>
      <c r="D776" s="138">
        <v>1993</v>
      </c>
      <c r="E776" s="138"/>
      <c r="F776" s="167" t="s">
        <v>319</v>
      </c>
      <c r="G776" s="138">
        <v>9</v>
      </c>
      <c r="H776" s="138">
        <v>2</v>
      </c>
      <c r="I776" s="129">
        <v>4008</v>
      </c>
      <c r="J776" s="129">
        <v>2472.3000000000002</v>
      </c>
      <c r="K776" s="129">
        <v>2472.3000000000002</v>
      </c>
      <c r="L776" s="139">
        <v>281</v>
      </c>
      <c r="M776" s="138" t="s">
        <v>271</v>
      </c>
      <c r="N776" s="138" t="s">
        <v>275</v>
      </c>
      <c r="O776" s="136" t="s">
        <v>1149</v>
      </c>
      <c r="P776" s="130">
        <v>4892077</v>
      </c>
      <c r="Q776" s="130">
        <v>0</v>
      </c>
      <c r="R776" s="130">
        <v>0</v>
      </c>
      <c r="S776" s="130">
        <f t="shared" si="209"/>
        <v>4892077</v>
      </c>
      <c r="T776" s="130">
        <f t="shared" si="200"/>
        <v>1220.5780938123753</v>
      </c>
      <c r="U776" s="130">
        <v>1413.3223602794412</v>
      </c>
    </row>
    <row r="777" spans="1:21" s="64" customFormat="1" ht="36" customHeight="1" x14ac:dyDescent="0.9">
      <c r="A777" s="64">
        <v>1</v>
      </c>
      <c r="B777" s="96">
        <f>SUBTOTAL(103,$A$561:A777)</f>
        <v>212</v>
      </c>
      <c r="C777" s="94" t="s">
        <v>645</v>
      </c>
      <c r="D777" s="138">
        <v>1959</v>
      </c>
      <c r="E777" s="138"/>
      <c r="F777" s="167" t="s">
        <v>273</v>
      </c>
      <c r="G777" s="138">
        <v>2</v>
      </c>
      <c r="H777" s="138">
        <v>2</v>
      </c>
      <c r="I777" s="129">
        <v>676.9</v>
      </c>
      <c r="J777" s="129">
        <v>525.79999999999995</v>
      </c>
      <c r="K777" s="129">
        <v>525.79999999999995</v>
      </c>
      <c r="L777" s="139">
        <v>29</v>
      </c>
      <c r="M777" s="138" t="s">
        <v>271</v>
      </c>
      <c r="N777" s="138" t="s">
        <v>275</v>
      </c>
      <c r="O777" s="136" t="s">
        <v>746</v>
      </c>
      <c r="P777" s="130">
        <v>2921671.6</v>
      </c>
      <c r="Q777" s="130">
        <v>0</v>
      </c>
      <c r="R777" s="130">
        <v>0</v>
      </c>
      <c r="S777" s="130">
        <f t="shared" si="209"/>
        <v>2921671.6</v>
      </c>
      <c r="T777" s="130">
        <f t="shared" si="200"/>
        <v>4316.2529177131046</v>
      </c>
      <c r="U777" s="130">
        <v>4997.8422455310983</v>
      </c>
    </row>
    <row r="778" spans="1:21" s="64" customFormat="1" ht="36" customHeight="1" x14ac:dyDescent="0.9">
      <c r="A778" s="64">
        <v>1</v>
      </c>
      <c r="B778" s="96">
        <f>SUBTOTAL(103,$A$561:A778)</f>
        <v>213</v>
      </c>
      <c r="C778" s="94" t="s">
        <v>660</v>
      </c>
      <c r="D778" s="138">
        <v>1962</v>
      </c>
      <c r="E778" s="138"/>
      <c r="F778" s="167" t="s">
        <v>273</v>
      </c>
      <c r="G778" s="138">
        <v>2</v>
      </c>
      <c r="H778" s="138">
        <v>2</v>
      </c>
      <c r="I778" s="129">
        <v>1671.6</v>
      </c>
      <c r="J778" s="129">
        <v>623.6</v>
      </c>
      <c r="K778" s="129">
        <v>623.6</v>
      </c>
      <c r="L778" s="139">
        <v>42</v>
      </c>
      <c r="M778" s="138" t="s">
        <v>271</v>
      </c>
      <c r="N778" s="138" t="s">
        <v>289</v>
      </c>
      <c r="O778" s="136" t="s">
        <v>274</v>
      </c>
      <c r="P778" s="130">
        <v>4923403</v>
      </c>
      <c r="Q778" s="130">
        <v>0</v>
      </c>
      <c r="R778" s="130">
        <v>0</v>
      </c>
      <c r="S778" s="130">
        <f t="shared" si="209"/>
        <v>4923403</v>
      </c>
      <c r="T778" s="130">
        <f t="shared" si="200"/>
        <v>2945.3236420196222</v>
      </c>
      <c r="U778" s="130">
        <v>3410.4264058387175</v>
      </c>
    </row>
    <row r="779" spans="1:21" s="64" customFormat="1" ht="36" customHeight="1" x14ac:dyDescent="0.9">
      <c r="A779" s="64">
        <v>1</v>
      </c>
      <c r="B779" s="96">
        <f>SUBTOTAL(103,$A$561:A779)</f>
        <v>214</v>
      </c>
      <c r="C779" s="94" t="s">
        <v>659</v>
      </c>
      <c r="D779" s="138">
        <v>1956</v>
      </c>
      <c r="E779" s="138"/>
      <c r="F779" s="167" t="s">
        <v>273</v>
      </c>
      <c r="G779" s="138">
        <v>2</v>
      </c>
      <c r="H779" s="138">
        <v>1</v>
      </c>
      <c r="I779" s="129">
        <v>418.2</v>
      </c>
      <c r="J779" s="129">
        <v>261.2</v>
      </c>
      <c r="K779" s="129">
        <v>261.2</v>
      </c>
      <c r="L779" s="139">
        <v>21</v>
      </c>
      <c r="M779" s="138" t="s">
        <v>271</v>
      </c>
      <c r="N779" s="138" t="s">
        <v>272</v>
      </c>
      <c r="O779" s="136" t="s">
        <v>274</v>
      </c>
      <c r="P779" s="130">
        <v>2767130</v>
      </c>
      <c r="Q779" s="130">
        <v>0</v>
      </c>
      <c r="R779" s="130">
        <v>0</v>
      </c>
      <c r="S779" s="130">
        <f t="shared" si="209"/>
        <v>2767130</v>
      </c>
      <c r="T779" s="130">
        <f t="shared" si="200"/>
        <v>6616.7623146819706</v>
      </c>
      <c r="U779" s="130">
        <v>7661.6303204208507</v>
      </c>
    </row>
    <row r="780" spans="1:21" s="64" customFormat="1" ht="36" customHeight="1" x14ac:dyDescent="0.9">
      <c r="A780" s="64">
        <v>1</v>
      </c>
      <c r="B780" s="96">
        <f>SUBTOTAL(103,$A$561:A780)</f>
        <v>215</v>
      </c>
      <c r="C780" s="94" t="s">
        <v>664</v>
      </c>
      <c r="D780" s="138">
        <v>1963</v>
      </c>
      <c r="E780" s="138"/>
      <c r="F780" s="167" t="s">
        <v>273</v>
      </c>
      <c r="G780" s="138">
        <v>9</v>
      </c>
      <c r="H780" s="138">
        <v>1</v>
      </c>
      <c r="I780" s="129">
        <v>2814.2</v>
      </c>
      <c r="J780" s="129">
        <v>388.96</v>
      </c>
      <c r="K780" s="129">
        <v>388.96</v>
      </c>
      <c r="L780" s="139">
        <v>13</v>
      </c>
      <c r="M780" s="138" t="s">
        <v>271</v>
      </c>
      <c r="N780" s="138" t="s">
        <v>275</v>
      </c>
      <c r="O780" s="136" t="s">
        <v>746</v>
      </c>
      <c r="P780" s="130">
        <v>2248303</v>
      </c>
      <c r="Q780" s="130">
        <v>0</v>
      </c>
      <c r="R780" s="130">
        <v>0</v>
      </c>
      <c r="S780" s="130">
        <f t="shared" si="209"/>
        <v>2248303</v>
      </c>
      <c r="T780" s="130">
        <f t="shared" ref="T780:T844" si="210">P780/I780</f>
        <v>798.91372326060696</v>
      </c>
      <c r="U780" s="130">
        <v>798.91372326060696</v>
      </c>
    </row>
    <row r="781" spans="1:21" s="64" customFormat="1" ht="36" customHeight="1" x14ac:dyDescent="0.9">
      <c r="A781" s="64">
        <v>1</v>
      </c>
      <c r="B781" s="96">
        <f>SUBTOTAL(103,$A$561:A781)</f>
        <v>216</v>
      </c>
      <c r="C781" s="94" t="s">
        <v>671</v>
      </c>
      <c r="D781" s="138">
        <v>1990</v>
      </c>
      <c r="E781" s="138"/>
      <c r="F781" s="167" t="s">
        <v>273</v>
      </c>
      <c r="G781" s="138">
        <v>2</v>
      </c>
      <c r="H781" s="138">
        <v>1</v>
      </c>
      <c r="I781" s="129">
        <v>2805.67</v>
      </c>
      <c r="J781" s="129">
        <v>317</v>
      </c>
      <c r="K781" s="129">
        <v>317</v>
      </c>
      <c r="L781" s="139">
        <v>31</v>
      </c>
      <c r="M781" s="138" t="s">
        <v>271</v>
      </c>
      <c r="N781" s="138" t="s">
        <v>289</v>
      </c>
      <c r="O781" s="136" t="s">
        <v>274</v>
      </c>
      <c r="P781" s="130">
        <v>5495600.0099999998</v>
      </c>
      <c r="Q781" s="130">
        <v>0</v>
      </c>
      <c r="R781" s="130">
        <v>0</v>
      </c>
      <c r="S781" s="130">
        <f t="shared" si="209"/>
        <v>5495600.0099999998</v>
      </c>
      <c r="T781" s="130">
        <f t="shared" si="210"/>
        <v>1958.7478249402102</v>
      </c>
      <c r="U781" s="130">
        <v>2370.2024828294134</v>
      </c>
    </row>
    <row r="782" spans="1:21" s="64" customFormat="1" ht="36" customHeight="1" x14ac:dyDescent="0.9">
      <c r="A782" s="64">
        <v>1</v>
      </c>
      <c r="B782" s="96">
        <f>SUBTOTAL(103,$A$561:A782)</f>
        <v>217</v>
      </c>
      <c r="C782" s="94" t="s">
        <v>662</v>
      </c>
      <c r="D782" s="138">
        <v>1965</v>
      </c>
      <c r="E782" s="138"/>
      <c r="F782" s="167" t="s">
        <v>273</v>
      </c>
      <c r="G782" s="138">
        <v>5</v>
      </c>
      <c r="H782" s="138">
        <v>3</v>
      </c>
      <c r="I782" s="129">
        <v>2423.8000000000002</v>
      </c>
      <c r="J782" s="129">
        <v>2218.9</v>
      </c>
      <c r="K782" s="129">
        <v>2218.9</v>
      </c>
      <c r="L782" s="139">
        <v>120</v>
      </c>
      <c r="M782" s="138" t="s">
        <v>271</v>
      </c>
      <c r="N782" s="138" t="s">
        <v>275</v>
      </c>
      <c r="O782" s="136" t="s">
        <v>746</v>
      </c>
      <c r="P782" s="130">
        <v>4364006</v>
      </c>
      <c r="Q782" s="130">
        <v>0</v>
      </c>
      <c r="R782" s="130">
        <v>0</v>
      </c>
      <c r="S782" s="130">
        <f t="shared" si="209"/>
        <v>4364006</v>
      </c>
      <c r="T782" s="130">
        <f t="shared" si="210"/>
        <v>1800.4810627939598</v>
      </c>
      <c r="U782" s="130">
        <v>2178.6902013367435</v>
      </c>
    </row>
    <row r="783" spans="1:21" s="64" customFormat="1" ht="36" customHeight="1" x14ac:dyDescent="0.9">
      <c r="A783" s="64">
        <v>1</v>
      </c>
      <c r="B783" s="96">
        <f>SUBTOTAL(103,$A$561:A783)</f>
        <v>218</v>
      </c>
      <c r="C783" s="94" t="s">
        <v>1696</v>
      </c>
      <c r="D783" s="138">
        <v>1969</v>
      </c>
      <c r="E783" s="138"/>
      <c r="F783" s="167" t="s">
        <v>1697</v>
      </c>
      <c r="G783" s="138">
        <v>2</v>
      </c>
      <c r="H783" s="138">
        <v>2</v>
      </c>
      <c r="I783" s="130">
        <v>784.54</v>
      </c>
      <c r="J783" s="130">
        <v>723.44</v>
      </c>
      <c r="K783" s="130">
        <f>J783</f>
        <v>723.44</v>
      </c>
      <c r="L783" s="139">
        <v>28</v>
      </c>
      <c r="M783" s="138" t="s">
        <v>271</v>
      </c>
      <c r="N783" s="138" t="s">
        <v>275</v>
      </c>
      <c r="O783" s="136" t="s">
        <v>749</v>
      </c>
      <c r="P783" s="130">
        <v>3850862.6100000003</v>
      </c>
      <c r="Q783" s="130">
        <v>0</v>
      </c>
      <c r="R783" s="130">
        <v>0</v>
      </c>
      <c r="S783" s="130">
        <f>P783-Q783-R783</f>
        <v>3850862.6100000003</v>
      </c>
      <c r="T783" s="130">
        <f>P783/I783</f>
        <v>4908.4337446146792</v>
      </c>
      <c r="U783" s="130">
        <v>5098.3999999999996</v>
      </c>
    </row>
    <row r="784" spans="1:21" s="64" customFormat="1" ht="36" customHeight="1" x14ac:dyDescent="0.9">
      <c r="B784" s="94" t="s">
        <v>859</v>
      </c>
      <c r="C784" s="94"/>
      <c r="D784" s="138" t="s">
        <v>934</v>
      </c>
      <c r="E784" s="138" t="s">
        <v>934</v>
      </c>
      <c r="F784" s="138" t="s">
        <v>934</v>
      </c>
      <c r="G784" s="138" t="s">
        <v>934</v>
      </c>
      <c r="H784" s="138" t="s">
        <v>934</v>
      </c>
      <c r="I784" s="129">
        <f>SUM(I785:I786)</f>
        <v>12179.5</v>
      </c>
      <c r="J784" s="129">
        <f t="shared" ref="J784:L784" si="211">SUM(J785:J786)</f>
        <v>9281.2000000000007</v>
      </c>
      <c r="K784" s="129">
        <f t="shared" si="211"/>
        <v>8817.5999999999985</v>
      </c>
      <c r="L784" s="139">
        <f t="shared" si="211"/>
        <v>420</v>
      </c>
      <c r="M784" s="138" t="s">
        <v>934</v>
      </c>
      <c r="N784" s="138" t="s">
        <v>934</v>
      </c>
      <c r="O784" s="136" t="s">
        <v>934</v>
      </c>
      <c r="P784" s="129">
        <v>10075097.600000001</v>
      </c>
      <c r="Q784" s="129">
        <f t="shared" ref="Q784:S784" si="212">SUM(Q785:Q786)</f>
        <v>0</v>
      </c>
      <c r="R784" s="129">
        <f t="shared" si="212"/>
        <v>0</v>
      </c>
      <c r="S784" s="129">
        <f t="shared" si="212"/>
        <v>10075097.600000001</v>
      </c>
      <c r="T784" s="130">
        <f t="shared" si="210"/>
        <v>827.21766903403272</v>
      </c>
      <c r="U784" s="130">
        <f>MAX(U785:U786)</f>
        <v>1030.5829001793186</v>
      </c>
    </row>
    <row r="785" spans="1:21" s="64" customFormat="1" ht="36" customHeight="1" x14ac:dyDescent="0.9">
      <c r="A785" s="64">
        <v>1</v>
      </c>
      <c r="B785" s="96">
        <f>SUBTOTAL(103,$A$561:A785)</f>
        <v>219</v>
      </c>
      <c r="C785" s="94" t="s">
        <v>680</v>
      </c>
      <c r="D785" s="138">
        <v>1981</v>
      </c>
      <c r="E785" s="138"/>
      <c r="F785" s="167" t="s">
        <v>319</v>
      </c>
      <c r="G785" s="138">
        <v>5</v>
      </c>
      <c r="H785" s="138">
        <v>7</v>
      </c>
      <c r="I785" s="129">
        <v>7160.5</v>
      </c>
      <c r="J785" s="129">
        <v>5349.7</v>
      </c>
      <c r="K785" s="129">
        <v>5077.8999999999996</v>
      </c>
      <c r="L785" s="139">
        <v>233</v>
      </c>
      <c r="M785" s="138" t="s">
        <v>271</v>
      </c>
      <c r="N785" s="138" t="s">
        <v>275</v>
      </c>
      <c r="O785" s="136" t="s">
        <v>751</v>
      </c>
      <c r="P785" s="130">
        <v>5608010</v>
      </c>
      <c r="Q785" s="130">
        <v>0</v>
      </c>
      <c r="R785" s="130">
        <v>0</v>
      </c>
      <c r="S785" s="130">
        <f t="shared" ref="S785:S786" si="213">P785-Q785-R785</f>
        <v>5608010</v>
      </c>
      <c r="T785" s="130">
        <f t="shared" si="210"/>
        <v>783.18692828713074</v>
      </c>
      <c r="U785" s="130">
        <v>947.70321206619644</v>
      </c>
    </row>
    <row r="786" spans="1:21" s="64" customFormat="1" ht="36" customHeight="1" x14ac:dyDescent="0.9">
      <c r="A786" s="64">
        <v>1</v>
      </c>
      <c r="B786" s="96">
        <f>SUBTOTAL(103,$A$561:A786)</f>
        <v>220</v>
      </c>
      <c r="C786" s="94" t="s">
        <v>677</v>
      </c>
      <c r="D786" s="138">
        <v>1987</v>
      </c>
      <c r="E786" s="138"/>
      <c r="F786" s="167" t="s">
        <v>273</v>
      </c>
      <c r="G786" s="138">
        <v>5</v>
      </c>
      <c r="H786" s="138">
        <v>6</v>
      </c>
      <c r="I786" s="129">
        <v>5019</v>
      </c>
      <c r="J786" s="129">
        <v>3931.5</v>
      </c>
      <c r="K786" s="129">
        <v>3739.7</v>
      </c>
      <c r="L786" s="139">
        <v>187</v>
      </c>
      <c r="M786" s="138" t="s">
        <v>271</v>
      </c>
      <c r="N786" s="138" t="s">
        <v>275</v>
      </c>
      <c r="O786" s="136" t="s">
        <v>751</v>
      </c>
      <c r="P786" s="130">
        <v>4467087.6000000006</v>
      </c>
      <c r="Q786" s="130">
        <v>0</v>
      </c>
      <c r="R786" s="130">
        <v>0</v>
      </c>
      <c r="S786" s="130">
        <f t="shared" si="213"/>
        <v>4467087.6000000006</v>
      </c>
      <c r="T786" s="130">
        <f t="shared" si="210"/>
        <v>890.03538553496719</v>
      </c>
      <c r="U786" s="130">
        <v>1030.5829001793186</v>
      </c>
    </row>
    <row r="787" spans="1:21" s="64" customFormat="1" ht="36" customHeight="1" x14ac:dyDescent="0.9">
      <c r="B787" s="94" t="s">
        <v>860</v>
      </c>
      <c r="C787" s="94"/>
      <c r="D787" s="138" t="s">
        <v>934</v>
      </c>
      <c r="E787" s="138" t="s">
        <v>934</v>
      </c>
      <c r="F787" s="138" t="s">
        <v>934</v>
      </c>
      <c r="G787" s="138" t="s">
        <v>934</v>
      </c>
      <c r="H787" s="138" t="s">
        <v>934</v>
      </c>
      <c r="I787" s="129">
        <f>SUM(I788:I791)</f>
        <v>3741.9999999999995</v>
      </c>
      <c r="J787" s="129">
        <f t="shared" ref="J787:L787" si="214">SUM(J788:J791)</f>
        <v>3567.1</v>
      </c>
      <c r="K787" s="129">
        <f t="shared" si="214"/>
        <v>2710.9</v>
      </c>
      <c r="L787" s="139">
        <f t="shared" si="214"/>
        <v>153</v>
      </c>
      <c r="M787" s="138" t="s">
        <v>934</v>
      </c>
      <c r="N787" s="138" t="s">
        <v>934</v>
      </c>
      <c r="O787" s="136" t="s">
        <v>934</v>
      </c>
      <c r="P787" s="129">
        <v>13069363.829999998</v>
      </c>
      <c r="Q787" s="129">
        <f t="shared" ref="Q787:S787" si="215">SUM(Q788:Q791)</f>
        <v>0</v>
      </c>
      <c r="R787" s="129">
        <f t="shared" si="215"/>
        <v>0</v>
      </c>
      <c r="S787" s="129">
        <f t="shared" si="215"/>
        <v>13069363.829999998</v>
      </c>
      <c r="T787" s="130">
        <f t="shared" si="210"/>
        <v>3492.6145991448425</v>
      </c>
      <c r="U787" s="130">
        <f>MAX(U788:U791)</f>
        <v>5393.6463429642699</v>
      </c>
    </row>
    <row r="788" spans="1:21" s="64" customFormat="1" ht="36" customHeight="1" x14ac:dyDescent="0.9">
      <c r="A788" s="64">
        <v>1</v>
      </c>
      <c r="B788" s="96">
        <f>SUBTOTAL(103,$A$561:A788)</f>
        <v>221</v>
      </c>
      <c r="C788" s="94" t="s">
        <v>685</v>
      </c>
      <c r="D788" s="138">
        <v>1937</v>
      </c>
      <c r="E788" s="138"/>
      <c r="F788" s="167" t="s">
        <v>338</v>
      </c>
      <c r="G788" s="138">
        <v>2</v>
      </c>
      <c r="H788" s="138">
        <v>2</v>
      </c>
      <c r="I788" s="129">
        <v>423.5</v>
      </c>
      <c r="J788" s="129">
        <v>423.5</v>
      </c>
      <c r="K788" s="129">
        <v>301.89999999999998</v>
      </c>
      <c r="L788" s="139">
        <v>26</v>
      </c>
      <c r="M788" s="138" t="s">
        <v>271</v>
      </c>
      <c r="N788" s="138" t="s">
        <v>289</v>
      </c>
      <c r="O788" s="136" t="s">
        <v>274</v>
      </c>
      <c r="P788" s="130">
        <v>1801245</v>
      </c>
      <c r="Q788" s="130">
        <v>0</v>
      </c>
      <c r="R788" s="130">
        <v>0</v>
      </c>
      <c r="S788" s="130">
        <f t="shared" ref="S788:S791" si="216">P788-Q788-R788</f>
        <v>1801245</v>
      </c>
      <c r="T788" s="130">
        <f t="shared" si="210"/>
        <v>4253.2349468713101</v>
      </c>
      <c r="U788" s="130">
        <v>4924.8729634002357</v>
      </c>
    </row>
    <row r="789" spans="1:21" s="64" customFormat="1" ht="36" customHeight="1" x14ac:dyDescent="0.9">
      <c r="A789" s="64">
        <v>1</v>
      </c>
      <c r="B789" s="96">
        <f>SUBTOTAL(103,$A$561:A789)</f>
        <v>222</v>
      </c>
      <c r="C789" s="94" t="s">
        <v>686</v>
      </c>
      <c r="D789" s="138">
        <v>1952</v>
      </c>
      <c r="E789" s="138"/>
      <c r="F789" s="167" t="s">
        <v>273</v>
      </c>
      <c r="G789" s="138">
        <v>2</v>
      </c>
      <c r="H789" s="138">
        <v>2</v>
      </c>
      <c r="I789" s="129">
        <v>906.8</v>
      </c>
      <c r="J789" s="129">
        <v>836.1</v>
      </c>
      <c r="K789" s="129">
        <v>538</v>
      </c>
      <c r="L789" s="139">
        <v>33</v>
      </c>
      <c r="M789" s="138" t="s">
        <v>271</v>
      </c>
      <c r="N789" s="138" t="s">
        <v>275</v>
      </c>
      <c r="O789" s="136" t="s">
        <v>752</v>
      </c>
      <c r="P789" s="130">
        <v>4223945.63</v>
      </c>
      <c r="Q789" s="130">
        <v>0</v>
      </c>
      <c r="R789" s="130">
        <v>0</v>
      </c>
      <c r="S789" s="130">
        <f t="shared" si="216"/>
        <v>4223945.63</v>
      </c>
      <c r="T789" s="130">
        <f t="shared" si="210"/>
        <v>4658.0785509483903</v>
      </c>
      <c r="U789" s="130">
        <v>5393.6463429642699</v>
      </c>
    </row>
    <row r="790" spans="1:21" s="64" customFormat="1" ht="36" customHeight="1" x14ac:dyDescent="0.9">
      <c r="A790" s="64">
        <v>1</v>
      </c>
      <c r="B790" s="96">
        <f>SUBTOTAL(103,$A$561:A790)</f>
        <v>223</v>
      </c>
      <c r="C790" s="94" t="s">
        <v>687</v>
      </c>
      <c r="D790" s="138">
        <v>1975</v>
      </c>
      <c r="E790" s="138"/>
      <c r="F790" s="167" t="s">
        <v>273</v>
      </c>
      <c r="G790" s="138">
        <v>3</v>
      </c>
      <c r="H790" s="138">
        <v>2</v>
      </c>
      <c r="I790" s="129">
        <v>1248.5999999999999</v>
      </c>
      <c r="J790" s="129">
        <v>1248.5999999999999</v>
      </c>
      <c r="K790" s="129">
        <v>1155.9000000000001</v>
      </c>
      <c r="L790" s="139">
        <v>54</v>
      </c>
      <c r="M790" s="138" t="s">
        <v>271</v>
      </c>
      <c r="N790" s="138" t="s">
        <v>275</v>
      </c>
      <c r="O790" s="136" t="s">
        <v>746</v>
      </c>
      <c r="P790" s="130">
        <v>3905308</v>
      </c>
      <c r="Q790" s="130">
        <v>0</v>
      </c>
      <c r="R790" s="130">
        <v>0</v>
      </c>
      <c r="S790" s="130">
        <f t="shared" si="216"/>
        <v>3905308</v>
      </c>
      <c r="T790" s="130">
        <f t="shared" si="210"/>
        <v>3127.749479416947</v>
      </c>
      <c r="U790" s="130">
        <v>3621.6595226653853</v>
      </c>
    </row>
    <row r="791" spans="1:21" s="64" customFormat="1" ht="36" customHeight="1" x14ac:dyDescent="0.9">
      <c r="A791" s="64">
        <v>1</v>
      </c>
      <c r="B791" s="96">
        <f>SUBTOTAL(103,$A$561:A791)</f>
        <v>224</v>
      </c>
      <c r="C791" s="94" t="s">
        <v>684</v>
      </c>
      <c r="D791" s="138">
        <v>1959</v>
      </c>
      <c r="E791" s="138"/>
      <c r="F791" s="167" t="s">
        <v>273</v>
      </c>
      <c r="G791" s="138">
        <v>3</v>
      </c>
      <c r="H791" s="138">
        <v>3</v>
      </c>
      <c r="I791" s="129">
        <v>1163.0999999999999</v>
      </c>
      <c r="J791" s="129">
        <v>1058.9000000000001</v>
      </c>
      <c r="K791" s="129">
        <v>715.1</v>
      </c>
      <c r="L791" s="139">
        <v>40</v>
      </c>
      <c r="M791" s="138" t="s">
        <v>271</v>
      </c>
      <c r="N791" s="138" t="s">
        <v>275</v>
      </c>
      <c r="O791" s="136" t="s">
        <v>752</v>
      </c>
      <c r="P791" s="130">
        <v>3138865.1999999997</v>
      </c>
      <c r="Q791" s="130">
        <v>0</v>
      </c>
      <c r="R791" s="130">
        <v>0</v>
      </c>
      <c r="S791" s="130">
        <f t="shared" si="216"/>
        <v>3138865.1999999997</v>
      </c>
      <c r="T791" s="130">
        <f t="shared" si="210"/>
        <v>2698.7062161465051</v>
      </c>
      <c r="U791" s="130">
        <v>3124.8650606138772</v>
      </c>
    </row>
    <row r="792" spans="1:21" s="64" customFormat="1" ht="36" customHeight="1" x14ac:dyDescent="0.9">
      <c r="B792" s="94" t="s">
        <v>861</v>
      </c>
      <c r="C792" s="94"/>
      <c r="D792" s="138" t="s">
        <v>934</v>
      </c>
      <c r="E792" s="138" t="s">
        <v>934</v>
      </c>
      <c r="F792" s="138" t="s">
        <v>934</v>
      </c>
      <c r="G792" s="138" t="s">
        <v>934</v>
      </c>
      <c r="H792" s="138" t="s">
        <v>934</v>
      </c>
      <c r="I792" s="129">
        <f>SUM(I793:I794)</f>
        <v>6782.4000000000005</v>
      </c>
      <c r="J792" s="129">
        <f t="shared" ref="J792:L792" si="217">SUM(J793:J794)</f>
        <v>5456.1</v>
      </c>
      <c r="K792" s="129">
        <f t="shared" si="217"/>
        <v>5456.1</v>
      </c>
      <c r="L792" s="139">
        <f t="shared" si="217"/>
        <v>246</v>
      </c>
      <c r="M792" s="138" t="s">
        <v>934</v>
      </c>
      <c r="N792" s="138" t="s">
        <v>934</v>
      </c>
      <c r="O792" s="136" t="s">
        <v>934</v>
      </c>
      <c r="P792" s="129">
        <v>9045880.0099999998</v>
      </c>
      <c r="Q792" s="129">
        <f t="shared" ref="Q792:S792" si="218">SUM(Q793:Q794)</f>
        <v>0</v>
      </c>
      <c r="R792" s="129">
        <f t="shared" si="218"/>
        <v>0</v>
      </c>
      <c r="S792" s="129">
        <f t="shared" si="218"/>
        <v>9045880.0099999998</v>
      </c>
      <c r="T792" s="130">
        <f t="shared" si="210"/>
        <v>1333.7284751710308</v>
      </c>
      <c r="U792" s="130">
        <f>MAX(U793:U794)</f>
        <v>2540.2662052771425</v>
      </c>
    </row>
    <row r="793" spans="1:21" s="64" customFormat="1" ht="36" customHeight="1" x14ac:dyDescent="0.9">
      <c r="A793" s="64">
        <v>1</v>
      </c>
      <c r="B793" s="96">
        <f>SUBTOTAL(103,$A$561:A793)</f>
        <v>225</v>
      </c>
      <c r="C793" s="94" t="s">
        <v>692</v>
      </c>
      <c r="D793" s="138">
        <v>1977</v>
      </c>
      <c r="E793" s="138"/>
      <c r="F793" s="167" t="s">
        <v>273</v>
      </c>
      <c r="G793" s="138">
        <v>3</v>
      </c>
      <c r="H793" s="138">
        <v>1</v>
      </c>
      <c r="I793" s="129">
        <v>1618.3</v>
      </c>
      <c r="J793" s="129">
        <v>1618.3</v>
      </c>
      <c r="K793" s="129">
        <v>1618.3</v>
      </c>
      <c r="L793" s="139">
        <v>48</v>
      </c>
      <c r="M793" s="138" t="s">
        <v>271</v>
      </c>
      <c r="N793" s="138" t="s">
        <v>275</v>
      </c>
      <c r="O793" s="136" t="s">
        <v>1053</v>
      </c>
      <c r="P793" s="130">
        <v>3550280</v>
      </c>
      <c r="Q793" s="130">
        <v>0</v>
      </c>
      <c r="R793" s="130">
        <v>0</v>
      </c>
      <c r="S793" s="130">
        <f t="shared" ref="S793" si="219">P793-Q793-R793</f>
        <v>3550280</v>
      </c>
      <c r="T793" s="130">
        <f t="shared" si="210"/>
        <v>2193.8330346660077</v>
      </c>
      <c r="U793" s="130">
        <v>2540.2662052771425</v>
      </c>
    </row>
    <row r="794" spans="1:21" s="64" customFormat="1" ht="36" customHeight="1" x14ac:dyDescent="0.9">
      <c r="A794" s="64">
        <v>1</v>
      </c>
      <c r="B794" s="96">
        <f>SUBTOTAL(103,$A$561:A794)</f>
        <v>226</v>
      </c>
      <c r="C794" s="94" t="s">
        <v>695</v>
      </c>
      <c r="D794" s="138">
        <v>1986</v>
      </c>
      <c r="E794" s="138"/>
      <c r="F794" s="167" t="s">
        <v>273</v>
      </c>
      <c r="G794" s="138">
        <v>5</v>
      </c>
      <c r="H794" s="138">
        <v>6</v>
      </c>
      <c r="I794" s="129">
        <v>5164.1000000000004</v>
      </c>
      <c r="J794" s="129">
        <v>3837.8</v>
      </c>
      <c r="K794" s="129">
        <v>3837.8</v>
      </c>
      <c r="L794" s="139">
        <v>198</v>
      </c>
      <c r="M794" s="138" t="s">
        <v>271</v>
      </c>
      <c r="N794" s="138" t="s">
        <v>275</v>
      </c>
      <c r="O794" s="136" t="s">
        <v>756</v>
      </c>
      <c r="P794" s="130">
        <v>5495600.0099999998</v>
      </c>
      <c r="Q794" s="130">
        <v>0</v>
      </c>
      <c r="R794" s="130">
        <v>0</v>
      </c>
      <c r="S794" s="130">
        <f>P794-Q794-R794</f>
        <v>5495600.0099999998</v>
      </c>
      <c r="T794" s="130">
        <f t="shared" si="210"/>
        <v>1064.1931817741715</v>
      </c>
      <c r="U794" s="130">
        <v>1287.7376503166088</v>
      </c>
    </row>
    <row r="795" spans="1:21" s="64" customFormat="1" ht="36" customHeight="1" x14ac:dyDescent="0.9">
      <c r="B795" s="94" t="s">
        <v>862</v>
      </c>
      <c r="C795" s="126"/>
      <c r="D795" s="138" t="s">
        <v>934</v>
      </c>
      <c r="E795" s="138" t="s">
        <v>934</v>
      </c>
      <c r="F795" s="138" t="s">
        <v>934</v>
      </c>
      <c r="G795" s="138" t="s">
        <v>934</v>
      </c>
      <c r="H795" s="138" t="s">
        <v>934</v>
      </c>
      <c r="I795" s="129">
        <f>SUM(I796:I796)</f>
        <v>2780.7</v>
      </c>
      <c r="J795" s="129">
        <f>SUM(J796:J796)</f>
        <v>1662.8</v>
      </c>
      <c r="K795" s="129">
        <f>SUM(K796:K796)</f>
        <v>1629.7</v>
      </c>
      <c r="L795" s="139">
        <f>SUM(L796:L796)</f>
        <v>103</v>
      </c>
      <c r="M795" s="138" t="s">
        <v>934</v>
      </c>
      <c r="N795" s="138" t="s">
        <v>934</v>
      </c>
      <c r="O795" s="136" t="s">
        <v>934</v>
      </c>
      <c r="P795" s="129">
        <v>2579501.7000000002</v>
      </c>
      <c r="Q795" s="129">
        <f>SUM(Q796:Q796)</f>
        <v>0</v>
      </c>
      <c r="R795" s="129">
        <f>SUM(R796:R796)</f>
        <v>0</v>
      </c>
      <c r="S795" s="129">
        <f>SUM(S796:S796)</f>
        <v>2579501.7000000002</v>
      </c>
      <c r="T795" s="130">
        <f t="shared" si="210"/>
        <v>927.64472974430907</v>
      </c>
      <c r="U795" s="130">
        <f>MAX(U796:U796)</f>
        <v>1956.6706225051248</v>
      </c>
    </row>
    <row r="796" spans="1:21" s="64" customFormat="1" ht="36" customHeight="1" x14ac:dyDescent="0.9">
      <c r="A796" s="64">
        <v>1</v>
      </c>
      <c r="B796" s="96">
        <f>SUBTOTAL(103,$A$561:A796)</f>
        <v>227</v>
      </c>
      <c r="C796" s="94" t="s">
        <v>802</v>
      </c>
      <c r="D796" s="138">
        <v>1985</v>
      </c>
      <c r="E796" s="138"/>
      <c r="F796" s="167" t="s">
        <v>273</v>
      </c>
      <c r="G796" s="138">
        <v>5</v>
      </c>
      <c r="H796" s="138">
        <v>4</v>
      </c>
      <c r="I796" s="129">
        <v>2780.7</v>
      </c>
      <c r="J796" s="129">
        <v>1662.8</v>
      </c>
      <c r="K796" s="129">
        <v>1629.7</v>
      </c>
      <c r="L796" s="139">
        <v>103</v>
      </c>
      <c r="M796" s="138" t="s">
        <v>271</v>
      </c>
      <c r="N796" s="138" t="s">
        <v>349</v>
      </c>
      <c r="O796" s="136" t="s">
        <v>761</v>
      </c>
      <c r="P796" s="130">
        <v>2579501.7000000002</v>
      </c>
      <c r="Q796" s="130">
        <v>0</v>
      </c>
      <c r="R796" s="130">
        <v>0</v>
      </c>
      <c r="S796" s="130">
        <f t="shared" ref="S796" si="220">P796-Q796-R796</f>
        <v>2579501.7000000002</v>
      </c>
      <c r="T796" s="130">
        <f t="shared" si="210"/>
        <v>927.64472974430907</v>
      </c>
      <c r="U796" s="130">
        <v>1956.6706225051248</v>
      </c>
    </row>
    <row r="797" spans="1:21" s="64" customFormat="1" ht="36" customHeight="1" x14ac:dyDescent="0.9">
      <c r="B797" s="94" t="s">
        <v>864</v>
      </c>
      <c r="C797" s="94"/>
      <c r="D797" s="138" t="s">
        <v>934</v>
      </c>
      <c r="E797" s="138" t="s">
        <v>934</v>
      </c>
      <c r="F797" s="138" t="s">
        <v>934</v>
      </c>
      <c r="G797" s="138" t="s">
        <v>934</v>
      </c>
      <c r="H797" s="138" t="s">
        <v>934</v>
      </c>
      <c r="I797" s="129">
        <f>SUM(I798:I799)</f>
        <v>983.7</v>
      </c>
      <c r="J797" s="129">
        <f t="shared" ref="J797:K797" si="221">SUM(J798:J799)</f>
        <v>875.3</v>
      </c>
      <c r="K797" s="129">
        <f t="shared" si="221"/>
        <v>203.5</v>
      </c>
      <c r="L797" s="139">
        <f>SUM(L798:L799)</f>
        <v>39</v>
      </c>
      <c r="M797" s="138" t="s">
        <v>934</v>
      </c>
      <c r="N797" s="138" t="s">
        <v>934</v>
      </c>
      <c r="O797" s="136" t="s">
        <v>934</v>
      </c>
      <c r="P797" s="129">
        <v>3008567.42</v>
      </c>
      <c r="Q797" s="129">
        <f t="shared" ref="Q797:S797" si="222">SUM(Q798:Q799)</f>
        <v>0</v>
      </c>
      <c r="R797" s="129">
        <f t="shared" si="222"/>
        <v>0</v>
      </c>
      <c r="S797" s="129">
        <f t="shared" si="222"/>
        <v>3008567.42</v>
      </c>
      <c r="T797" s="130">
        <f t="shared" si="210"/>
        <v>3058.419660465589</v>
      </c>
      <c r="U797" s="130">
        <f>MAX(U798:U799)</f>
        <v>5531.3727569562752</v>
      </c>
    </row>
    <row r="798" spans="1:21" s="64" customFormat="1" ht="36" customHeight="1" x14ac:dyDescent="0.9">
      <c r="A798" s="64">
        <v>1</v>
      </c>
      <c r="B798" s="96">
        <f>SUBTOTAL(103,$A$561:A798)</f>
        <v>228</v>
      </c>
      <c r="C798" s="94" t="s">
        <v>728</v>
      </c>
      <c r="D798" s="138">
        <v>1975</v>
      </c>
      <c r="E798" s="138"/>
      <c r="F798" s="167" t="s">
        <v>273</v>
      </c>
      <c r="G798" s="138">
        <v>2</v>
      </c>
      <c r="H798" s="138">
        <v>2</v>
      </c>
      <c r="I798" s="129">
        <v>704.4</v>
      </c>
      <c r="J798" s="129">
        <v>617.79999999999995</v>
      </c>
      <c r="K798" s="129">
        <v>171.4</v>
      </c>
      <c r="L798" s="139">
        <v>22</v>
      </c>
      <c r="M798" s="138" t="s">
        <v>271</v>
      </c>
      <c r="N798" s="138" t="s">
        <v>272</v>
      </c>
      <c r="O798" s="136" t="s">
        <v>274</v>
      </c>
      <c r="P798" s="130">
        <v>2605803.73</v>
      </c>
      <c r="Q798" s="130">
        <v>0</v>
      </c>
      <c r="R798" s="130">
        <v>0</v>
      </c>
      <c r="S798" s="130">
        <f t="shared" ref="S798:S799" si="223">P798-Q798-R798</f>
        <v>2605803.73</v>
      </c>
      <c r="T798" s="130">
        <f t="shared" si="210"/>
        <v>3699.3238642816582</v>
      </c>
      <c r="U798" s="130">
        <v>5531.3727569562752</v>
      </c>
    </row>
    <row r="799" spans="1:21" s="64" customFormat="1" ht="36" customHeight="1" x14ac:dyDescent="0.9">
      <c r="A799" s="64">
        <v>1</v>
      </c>
      <c r="B799" s="96">
        <f>SUBTOTAL(103,$A$561:A799)</f>
        <v>229</v>
      </c>
      <c r="C799" s="94" t="s">
        <v>719</v>
      </c>
      <c r="D799" s="138">
        <v>1961</v>
      </c>
      <c r="E799" s="138"/>
      <c r="F799" s="167" t="s">
        <v>273</v>
      </c>
      <c r="G799" s="138">
        <v>2</v>
      </c>
      <c r="H799" s="138">
        <v>1</v>
      </c>
      <c r="I799" s="129">
        <v>279.3</v>
      </c>
      <c r="J799" s="129">
        <v>257.5</v>
      </c>
      <c r="K799" s="129">
        <v>32.1</v>
      </c>
      <c r="L799" s="139">
        <v>17</v>
      </c>
      <c r="M799" s="138" t="s">
        <v>271</v>
      </c>
      <c r="N799" s="138" t="s">
        <v>272</v>
      </c>
      <c r="O799" s="136" t="s">
        <v>274</v>
      </c>
      <c r="P799" s="130">
        <v>402763.69</v>
      </c>
      <c r="Q799" s="130">
        <v>0</v>
      </c>
      <c r="R799" s="130">
        <v>0</v>
      </c>
      <c r="S799" s="130">
        <f t="shared" si="223"/>
        <v>402763.69</v>
      </c>
      <c r="T799" s="130">
        <f t="shared" si="210"/>
        <v>1442.0468671679198</v>
      </c>
      <c r="U799" s="130">
        <v>1442.0468671679198</v>
      </c>
    </row>
    <row r="800" spans="1:21" s="64" customFormat="1" ht="36" customHeight="1" x14ac:dyDescent="0.9">
      <c r="B800" s="94" t="s">
        <v>909</v>
      </c>
      <c r="C800" s="94"/>
      <c r="D800" s="138" t="s">
        <v>934</v>
      </c>
      <c r="E800" s="138" t="s">
        <v>934</v>
      </c>
      <c r="F800" s="138" t="s">
        <v>934</v>
      </c>
      <c r="G800" s="138" t="s">
        <v>934</v>
      </c>
      <c r="H800" s="138" t="s">
        <v>934</v>
      </c>
      <c r="I800" s="129">
        <f>I801</f>
        <v>618.29999999999995</v>
      </c>
      <c r="J800" s="129">
        <f t="shared" ref="J800:L800" si="224">J801</f>
        <v>561.1</v>
      </c>
      <c r="K800" s="129">
        <f t="shared" si="224"/>
        <v>2850.3</v>
      </c>
      <c r="L800" s="139">
        <f t="shared" si="224"/>
        <v>30</v>
      </c>
      <c r="M800" s="138" t="s">
        <v>934</v>
      </c>
      <c r="N800" s="138" t="s">
        <v>934</v>
      </c>
      <c r="O800" s="136" t="s">
        <v>934</v>
      </c>
      <c r="P800" s="129">
        <v>3080948</v>
      </c>
      <c r="Q800" s="129">
        <f t="shared" ref="Q800:S800" si="225">Q801</f>
        <v>0</v>
      </c>
      <c r="R800" s="129">
        <f t="shared" si="225"/>
        <v>0</v>
      </c>
      <c r="S800" s="129">
        <f t="shared" si="225"/>
        <v>3080948</v>
      </c>
      <c r="T800" s="130">
        <f t="shared" si="210"/>
        <v>4982.9338508814499</v>
      </c>
      <c r="U800" s="130">
        <f>U801</f>
        <v>5084.3267022481004</v>
      </c>
    </row>
    <row r="801" spans="1:184" s="64" customFormat="1" ht="36" customHeight="1" x14ac:dyDescent="0.9">
      <c r="A801" s="64">
        <v>1</v>
      </c>
      <c r="B801" s="96">
        <f>SUBTOTAL(103,$A$561:A801)</f>
        <v>230</v>
      </c>
      <c r="C801" s="94" t="s">
        <v>713</v>
      </c>
      <c r="D801" s="138">
        <v>1984</v>
      </c>
      <c r="E801" s="138"/>
      <c r="F801" s="167" t="s">
        <v>326</v>
      </c>
      <c r="G801" s="138">
        <v>2</v>
      </c>
      <c r="H801" s="138">
        <v>2</v>
      </c>
      <c r="I801" s="129">
        <v>618.29999999999995</v>
      </c>
      <c r="J801" s="129">
        <v>561.1</v>
      </c>
      <c r="K801" s="129">
        <v>2850.3</v>
      </c>
      <c r="L801" s="139">
        <v>30</v>
      </c>
      <c r="M801" s="138" t="s">
        <v>271</v>
      </c>
      <c r="N801" s="138" t="s">
        <v>272</v>
      </c>
      <c r="O801" s="136" t="s">
        <v>274</v>
      </c>
      <c r="P801" s="130">
        <v>3080948</v>
      </c>
      <c r="Q801" s="130">
        <v>0</v>
      </c>
      <c r="R801" s="130">
        <v>0</v>
      </c>
      <c r="S801" s="130">
        <f>P801-Q801-R801</f>
        <v>3080948</v>
      </c>
      <c r="T801" s="130">
        <f t="shared" si="210"/>
        <v>4982.9338508814499</v>
      </c>
      <c r="U801" s="130">
        <v>5084.3267022481004</v>
      </c>
    </row>
    <row r="802" spans="1:184" s="64" customFormat="1" ht="36" customHeight="1" x14ac:dyDescent="0.9">
      <c r="B802" s="94" t="s">
        <v>865</v>
      </c>
      <c r="C802" s="94"/>
      <c r="D802" s="138" t="s">
        <v>934</v>
      </c>
      <c r="E802" s="138" t="s">
        <v>934</v>
      </c>
      <c r="F802" s="138" t="s">
        <v>934</v>
      </c>
      <c r="G802" s="138" t="s">
        <v>934</v>
      </c>
      <c r="H802" s="138" t="s">
        <v>934</v>
      </c>
      <c r="I802" s="129">
        <f>I803</f>
        <v>3085.8</v>
      </c>
      <c r="J802" s="129">
        <f t="shared" ref="J802:L802" si="226">J803</f>
        <v>2104.5</v>
      </c>
      <c r="K802" s="129">
        <f t="shared" si="226"/>
        <v>1863.3</v>
      </c>
      <c r="L802" s="139">
        <f t="shared" si="226"/>
        <v>144</v>
      </c>
      <c r="M802" s="138" t="s">
        <v>934</v>
      </c>
      <c r="N802" s="138" t="s">
        <v>934</v>
      </c>
      <c r="O802" s="136" t="s">
        <v>934</v>
      </c>
      <c r="P802" s="129">
        <v>2000000</v>
      </c>
      <c r="Q802" s="129">
        <f t="shared" ref="Q802:S802" si="227">Q803</f>
        <v>0</v>
      </c>
      <c r="R802" s="129">
        <f t="shared" si="227"/>
        <v>0</v>
      </c>
      <c r="S802" s="129">
        <f t="shared" si="227"/>
        <v>2000000</v>
      </c>
      <c r="T802" s="130">
        <f t="shared" si="210"/>
        <v>648.13014453302219</v>
      </c>
      <c r="U802" s="130">
        <f>U803</f>
        <v>1630.9123509624733</v>
      </c>
    </row>
    <row r="803" spans="1:184" s="20" customFormat="1" ht="36" customHeight="1" x14ac:dyDescent="0.9">
      <c r="A803" s="64">
        <v>1</v>
      </c>
      <c r="B803" s="96">
        <f>SUBTOTAL(103,$A$561:A803)</f>
        <v>231</v>
      </c>
      <c r="C803" s="128" t="s">
        <v>720</v>
      </c>
      <c r="D803" s="138">
        <v>1979</v>
      </c>
      <c r="E803" s="138"/>
      <c r="F803" s="169" t="s">
        <v>765</v>
      </c>
      <c r="G803" s="138">
        <v>5</v>
      </c>
      <c r="H803" s="138">
        <v>4</v>
      </c>
      <c r="I803" s="129">
        <v>3085.8</v>
      </c>
      <c r="J803" s="129">
        <v>2104.5</v>
      </c>
      <c r="K803" s="129">
        <v>1863.3</v>
      </c>
      <c r="L803" s="140">
        <v>144</v>
      </c>
      <c r="M803" s="138" t="s">
        <v>271</v>
      </c>
      <c r="N803" s="138" t="s">
        <v>275</v>
      </c>
      <c r="O803" s="138" t="s">
        <v>762</v>
      </c>
      <c r="P803" s="129">
        <v>2000000</v>
      </c>
      <c r="Q803" s="129">
        <v>0</v>
      </c>
      <c r="R803" s="129">
        <v>0</v>
      </c>
      <c r="S803" s="129">
        <f>P803-Q803-R803</f>
        <v>2000000</v>
      </c>
      <c r="T803" s="130">
        <f t="shared" si="210"/>
        <v>648.13014453302219</v>
      </c>
      <c r="U803" s="130">
        <v>1630.9123509624733</v>
      </c>
      <c r="DJ803" s="131"/>
      <c r="DK803" s="131"/>
      <c r="DL803" s="131"/>
      <c r="DZ803" s="132"/>
      <c r="EI803" s="133"/>
      <c r="FL803" s="134"/>
      <c r="GB803" s="135"/>
    </row>
    <row r="804" spans="1:184" s="64" customFormat="1" ht="36" customHeight="1" x14ac:dyDescent="0.9">
      <c r="B804" s="94" t="s">
        <v>866</v>
      </c>
      <c r="C804" s="94"/>
      <c r="D804" s="138" t="s">
        <v>934</v>
      </c>
      <c r="E804" s="138" t="s">
        <v>934</v>
      </c>
      <c r="F804" s="138" t="s">
        <v>934</v>
      </c>
      <c r="G804" s="138" t="s">
        <v>934</v>
      </c>
      <c r="H804" s="138" t="s">
        <v>934</v>
      </c>
      <c r="I804" s="129">
        <f>SUM(I805:I810)</f>
        <v>16441</v>
      </c>
      <c r="J804" s="129">
        <f t="shared" ref="J804:L804" si="228">SUM(J805:J810)</f>
        <v>12174.9</v>
      </c>
      <c r="K804" s="129">
        <f t="shared" si="228"/>
        <v>11434.4</v>
      </c>
      <c r="L804" s="139">
        <f t="shared" si="228"/>
        <v>486</v>
      </c>
      <c r="M804" s="138" t="s">
        <v>934</v>
      </c>
      <c r="N804" s="138" t="s">
        <v>934</v>
      </c>
      <c r="O804" s="136" t="s">
        <v>934</v>
      </c>
      <c r="P804" s="129">
        <v>23342012.82</v>
      </c>
      <c r="Q804" s="129">
        <f t="shared" ref="Q804:S804" si="229">SUM(Q805:Q810)</f>
        <v>0</v>
      </c>
      <c r="R804" s="129">
        <f t="shared" si="229"/>
        <v>0</v>
      </c>
      <c r="S804" s="129">
        <f t="shared" si="229"/>
        <v>23342012.82</v>
      </c>
      <c r="T804" s="130">
        <f t="shared" si="210"/>
        <v>1419.7441043732133</v>
      </c>
      <c r="U804" s="130">
        <f>MAX(U805:U810)</f>
        <v>6128.8041777024946</v>
      </c>
    </row>
    <row r="805" spans="1:184" s="64" customFormat="1" ht="36" customHeight="1" x14ac:dyDescent="0.9">
      <c r="A805" s="64">
        <v>1</v>
      </c>
      <c r="B805" s="96">
        <f>SUBTOTAL(103,$A$561:A805)</f>
        <v>232</v>
      </c>
      <c r="C805" s="94" t="s">
        <v>710</v>
      </c>
      <c r="D805" s="138">
        <v>1993</v>
      </c>
      <c r="E805" s="138"/>
      <c r="F805" s="167" t="s">
        <v>319</v>
      </c>
      <c r="G805" s="138">
        <v>5</v>
      </c>
      <c r="H805" s="138">
        <v>5</v>
      </c>
      <c r="I805" s="129">
        <v>3247</v>
      </c>
      <c r="J805" s="129">
        <v>3245</v>
      </c>
      <c r="K805" s="129">
        <v>3245</v>
      </c>
      <c r="L805" s="139">
        <v>121</v>
      </c>
      <c r="M805" s="138" t="s">
        <v>271</v>
      </c>
      <c r="N805" s="138" t="s">
        <v>349</v>
      </c>
      <c r="O805" s="136" t="s">
        <v>763</v>
      </c>
      <c r="P805" s="130">
        <v>2541661.4500000002</v>
      </c>
      <c r="Q805" s="130">
        <v>0</v>
      </c>
      <c r="R805" s="130">
        <v>0</v>
      </c>
      <c r="S805" s="130">
        <f t="shared" ref="S805:S810" si="230">P805-Q805-R805</f>
        <v>2541661.4500000002</v>
      </c>
      <c r="T805" s="130">
        <f t="shared" si="210"/>
        <v>782.77223591007089</v>
      </c>
      <c r="U805" s="130">
        <v>6128.8041777024946</v>
      </c>
    </row>
    <row r="806" spans="1:184" s="64" customFormat="1" ht="36" customHeight="1" x14ac:dyDescent="0.9">
      <c r="A806" s="64">
        <v>1</v>
      </c>
      <c r="B806" s="96">
        <f>SUBTOTAL(103,$A$561:A806)</f>
        <v>233</v>
      </c>
      <c r="C806" s="94" t="s">
        <v>698</v>
      </c>
      <c r="D806" s="138">
        <v>1972</v>
      </c>
      <c r="E806" s="138"/>
      <c r="F806" s="167" t="s">
        <v>273</v>
      </c>
      <c r="G806" s="138">
        <v>5</v>
      </c>
      <c r="H806" s="138">
        <v>4</v>
      </c>
      <c r="I806" s="129">
        <v>5949.7</v>
      </c>
      <c r="J806" s="129">
        <v>3026.6</v>
      </c>
      <c r="K806" s="129">
        <v>2850.3</v>
      </c>
      <c r="L806" s="139">
        <v>117</v>
      </c>
      <c r="M806" s="138" t="s">
        <v>271</v>
      </c>
      <c r="N806" s="138" t="s">
        <v>275</v>
      </c>
      <c r="O806" s="136" t="s">
        <v>1154</v>
      </c>
      <c r="P806" s="130">
        <v>5370787.6200000001</v>
      </c>
      <c r="Q806" s="130">
        <v>0</v>
      </c>
      <c r="R806" s="130">
        <v>0</v>
      </c>
      <c r="S806" s="130">
        <f t="shared" si="230"/>
        <v>5370787.6200000001</v>
      </c>
      <c r="T806" s="130">
        <f t="shared" si="210"/>
        <v>902.69889574264255</v>
      </c>
      <c r="U806" s="130">
        <v>1124.8170865757938</v>
      </c>
    </row>
    <row r="807" spans="1:184" s="64" customFormat="1" ht="36" customHeight="1" x14ac:dyDescent="0.9">
      <c r="A807" s="64">
        <v>1</v>
      </c>
      <c r="B807" s="96">
        <f>SUBTOTAL(103,$A$561:A807)</f>
        <v>234</v>
      </c>
      <c r="C807" s="94" t="s">
        <v>726</v>
      </c>
      <c r="D807" s="138">
        <v>1981</v>
      </c>
      <c r="E807" s="138"/>
      <c r="F807" s="167" t="s">
        <v>273</v>
      </c>
      <c r="G807" s="138">
        <v>2</v>
      </c>
      <c r="H807" s="138">
        <v>3</v>
      </c>
      <c r="I807" s="129">
        <v>843.1</v>
      </c>
      <c r="J807" s="129">
        <v>820.9</v>
      </c>
      <c r="K807" s="129">
        <v>820.9</v>
      </c>
      <c r="L807" s="139">
        <v>34</v>
      </c>
      <c r="M807" s="138" t="s">
        <v>271</v>
      </c>
      <c r="N807" s="138" t="s">
        <v>272</v>
      </c>
      <c r="O807" s="136" t="s">
        <v>274</v>
      </c>
      <c r="P807" s="130">
        <v>4073004</v>
      </c>
      <c r="Q807" s="130">
        <v>0</v>
      </c>
      <c r="R807" s="130">
        <v>0</v>
      </c>
      <c r="S807" s="130">
        <f t="shared" si="230"/>
        <v>4073004</v>
      </c>
      <c r="T807" s="130">
        <f t="shared" si="210"/>
        <v>4830.98564820306</v>
      </c>
      <c r="U807" s="130">
        <v>5593.0005930494599</v>
      </c>
    </row>
    <row r="808" spans="1:184" s="64" customFormat="1" ht="36" customHeight="1" x14ac:dyDescent="0.9">
      <c r="A808" s="64">
        <v>1</v>
      </c>
      <c r="B808" s="96">
        <f>SUBTOTAL(103,$A$561:A808)</f>
        <v>235</v>
      </c>
      <c r="C808" s="94" t="s">
        <v>703</v>
      </c>
      <c r="D808" s="138">
        <v>1940</v>
      </c>
      <c r="E808" s="138"/>
      <c r="F808" s="167" t="s">
        <v>273</v>
      </c>
      <c r="G808" s="138">
        <v>3</v>
      </c>
      <c r="H808" s="138">
        <v>3</v>
      </c>
      <c r="I808" s="129">
        <v>2521.1999999999998</v>
      </c>
      <c r="J808" s="129">
        <v>2421.1999999999998</v>
      </c>
      <c r="K808" s="129">
        <v>1980.9</v>
      </c>
      <c r="L808" s="139">
        <v>67</v>
      </c>
      <c r="M808" s="138" t="s">
        <v>271</v>
      </c>
      <c r="N808" s="138" t="s">
        <v>349</v>
      </c>
      <c r="O808" s="136" t="s">
        <v>764</v>
      </c>
      <c r="P808" s="130">
        <v>3707478</v>
      </c>
      <c r="Q808" s="130">
        <v>0</v>
      </c>
      <c r="R808" s="130">
        <v>0</v>
      </c>
      <c r="S808" s="130">
        <f t="shared" si="230"/>
        <v>3707478</v>
      </c>
      <c r="T808" s="130">
        <f t="shared" si="210"/>
        <v>1470.5211803902905</v>
      </c>
      <c r="U808" s="130">
        <v>1702.4736633349198</v>
      </c>
    </row>
    <row r="809" spans="1:184" s="64" customFormat="1" ht="36" customHeight="1" x14ac:dyDescent="0.9">
      <c r="A809" s="64">
        <v>1</v>
      </c>
      <c r="B809" s="96">
        <f>SUBTOTAL(103,$A$561:A809)</f>
        <v>236</v>
      </c>
      <c r="C809" s="94" t="s">
        <v>708</v>
      </c>
      <c r="D809" s="138">
        <v>1979</v>
      </c>
      <c r="E809" s="138"/>
      <c r="F809" s="167" t="s">
        <v>273</v>
      </c>
      <c r="G809" s="138">
        <v>2</v>
      </c>
      <c r="H809" s="138">
        <v>2</v>
      </c>
      <c r="I809" s="129">
        <v>1052.4000000000001</v>
      </c>
      <c r="J809" s="129">
        <v>930.4</v>
      </c>
      <c r="K809" s="129">
        <v>930.4</v>
      </c>
      <c r="L809" s="139">
        <v>24</v>
      </c>
      <c r="M809" s="138" t="s">
        <v>271</v>
      </c>
      <c r="N809" s="138" t="s">
        <v>303</v>
      </c>
      <c r="O809" s="136" t="s">
        <v>1150</v>
      </c>
      <c r="P809" s="130">
        <v>3916350</v>
      </c>
      <c r="Q809" s="130">
        <v>0</v>
      </c>
      <c r="R809" s="130">
        <v>0</v>
      </c>
      <c r="S809" s="130">
        <f t="shared" si="230"/>
        <v>3916350</v>
      </c>
      <c r="T809" s="130">
        <f t="shared" si="210"/>
        <v>3721.3511972633978</v>
      </c>
      <c r="U809" s="130">
        <v>4308.3380843785626</v>
      </c>
    </row>
    <row r="810" spans="1:184" s="64" customFormat="1" ht="36" customHeight="1" x14ac:dyDescent="0.9">
      <c r="A810" s="64">
        <v>1</v>
      </c>
      <c r="B810" s="96">
        <f>SUBTOTAL(103,$A$561:A810)</f>
        <v>237</v>
      </c>
      <c r="C810" s="94" t="s">
        <v>707</v>
      </c>
      <c r="D810" s="138">
        <v>1977</v>
      </c>
      <c r="E810" s="138"/>
      <c r="F810" s="167" t="s">
        <v>273</v>
      </c>
      <c r="G810" s="138">
        <v>5</v>
      </c>
      <c r="H810" s="138">
        <v>4</v>
      </c>
      <c r="I810" s="129">
        <v>2827.6</v>
      </c>
      <c r="J810" s="129">
        <v>1730.8</v>
      </c>
      <c r="K810" s="129">
        <v>1606.9</v>
      </c>
      <c r="L810" s="139">
        <v>123</v>
      </c>
      <c r="M810" s="138" t="s">
        <v>271</v>
      </c>
      <c r="N810" s="138" t="s">
        <v>275</v>
      </c>
      <c r="O810" s="136" t="s">
        <v>760</v>
      </c>
      <c r="P810" s="130">
        <v>3732731.75</v>
      </c>
      <c r="Q810" s="130">
        <v>0</v>
      </c>
      <c r="R810" s="130">
        <v>0</v>
      </c>
      <c r="S810" s="130">
        <f t="shared" si="230"/>
        <v>3732731.75</v>
      </c>
      <c r="T810" s="130">
        <f t="shared" si="210"/>
        <v>1320.1060086292262</v>
      </c>
      <c r="U810" s="130">
        <v>1508.3717746498799</v>
      </c>
    </row>
    <row r="811" spans="1:184" s="64" customFormat="1" ht="36" customHeight="1" x14ac:dyDescent="0.9">
      <c r="B811" s="94" t="s">
        <v>867</v>
      </c>
      <c r="C811" s="126"/>
      <c r="D811" s="138" t="s">
        <v>934</v>
      </c>
      <c r="E811" s="138" t="s">
        <v>934</v>
      </c>
      <c r="F811" s="138" t="s">
        <v>934</v>
      </c>
      <c r="G811" s="138" t="s">
        <v>934</v>
      </c>
      <c r="H811" s="138" t="s">
        <v>934</v>
      </c>
      <c r="I811" s="129">
        <f>SUM(I812:I813)</f>
        <v>5350.31</v>
      </c>
      <c r="J811" s="129">
        <f t="shared" ref="J811:L811" si="231">SUM(J812:J813)</f>
        <v>5262.81</v>
      </c>
      <c r="K811" s="129">
        <f t="shared" si="231"/>
        <v>5219.51</v>
      </c>
      <c r="L811" s="139">
        <f t="shared" si="231"/>
        <v>213</v>
      </c>
      <c r="M811" s="138" t="s">
        <v>934</v>
      </c>
      <c r="N811" s="138" t="s">
        <v>934</v>
      </c>
      <c r="O811" s="136" t="s">
        <v>934</v>
      </c>
      <c r="P811" s="130">
        <v>11973050.91</v>
      </c>
      <c r="Q811" s="130">
        <f t="shared" ref="Q811:S811" si="232">Q812+Q813</f>
        <v>0</v>
      </c>
      <c r="R811" s="130">
        <f t="shared" si="232"/>
        <v>0</v>
      </c>
      <c r="S811" s="130">
        <f t="shared" si="232"/>
        <v>11973050.91</v>
      </c>
      <c r="T811" s="130">
        <f t="shared" si="210"/>
        <v>2237.8237728281165</v>
      </c>
      <c r="U811" s="130">
        <f>MAX(U812:U813)</f>
        <v>4517.4808935361225</v>
      </c>
    </row>
    <row r="812" spans="1:184" s="64" customFormat="1" ht="36" customHeight="1" x14ac:dyDescent="0.9">
      <c r="A812" s="64">
        <v>1</v>
      </c>
      <c r="B812" s="96">
        <f>SUBTOTAL(103,$A$561:A812)</f>
        <v>238</v>
      </c>
      <c r="C812" s="94" t="s">
        <v>240</v>
      </c>
      <c r="D812" s="138">
        <v>1973</v>
      </c>
      <c r="E812" s="138"/>
      <c r="F812" s="167" t="s">
        <v>273</v>
      </c>
      <c r="G812" s="138">
        <v>5</v>
      </c>
      <c r="H812" s="138">
        <v>6</v>
      </c>
      <c r="I812" s="129">
        <v>4403.51</v>
      </c>
      <c r="J812" s="129">
        <v>4403.51</v>
      </c>
      <c r="K812" s="129">
        <v>4403.51</v>
      </c>
      <c r="L812" s="139">
        <v>179</v>
      </c>
      <c r="M812" s="138" t="s">
        <v>271</v>
      </c>
      <c r="N812" s="138" t="s">
        <v>275</v>
      </c>
      <c r="O812" s="136" t="s">
        <v>342</v>
      </c>
      <c r="P812" s="130">
        <v>7695900</v>
      </c>
      <c r="Q812" s="130">
        <v>0</v>
      </c>
      <c r="R812" s="130">
        <v>0</v>
      </c>
      <c r="S812" s="130">
        <f t="shared" ref="S812:S813" si="233">P812-Q812-R812</f>
        <v>7695900</v>
      </c>
      <c r="T812" s="130">
        <f t="shared" si="210"/>
        <v>1747.6740145929043</v>
      </c>
      <c r="U812" s="130">
        <v>2071.6653624040823</v>
      </c>
    </row>
    <row r="813" spans="1:184" s="64" customFormat="1" ht="36" customHeight="1" x14ac:dyDescent="0.9">
      <c r="A813" s="64">
        <v>1</v>
      </c>
      <c r="B813" s="96">
        <f>SUBTOTAL(103,$A$561:A813)</f>
        <v>239</v>
      </c>
      <c r="C813" s="94" t="s">
        <v>245</v>
      </c>
      <c r="D813" s="138">
        <v>1989</v>
      </c>
      <c r="E813" s="138"/>
      <c r="F813" s="167" t="s">
        <v>273</v>
      </c>
      <c r="G813" s="138">
        <v>2</v>
      </c>
      <c r="H813" s="138">
        <v>3</v>
      </c>
      <c r="I813" s="129">
        <v>946.8</v>
      </c>
      <c r="J813" s="129">
        <v>859.3</v>
      </c>
      <c r="K813" s="129">
        <v>816</v>
      </c>
      <c r="L813" s="139">
        <v>34</v>
      </c>
      <c r="M813" s="138" t="s">
        <v>271</v>
      </c>
      <c r="N813" s="138" t="s">
        <v>275</v>
      </c>
      <c r="O813" s="136" t="s">
        <v>341</v>
      </c>
      <c r="P813" s="130">
        <v>4277150.91</v>
      </c>
      <c r="Q813" s="130">
        <v>0</v>
      </c>
      <c r="R813" s="130">
        <v>0</v>
      </c>
      <c r="S813" s="130">
        <f t="shared" si="233"/>
        <v>4277150.91</v>
      </c>
      <c r="T813" s="130">
        <f t="shared" si="210"/>
        <v>4517.4808935361225</v>
      </c>
      <c r="U813" s="130">
        <v>4517.4808935361225</v>
      </c>
    </row>
    <row r="814" spans="1:184" s="64" customFormat="1" ht="36" customHeight="1" x14ac:dyDescent="0.9">
      <c r="B814" s="94" t="s">
        <v>1352</v>
      </c>
      <c r="C814" s="94"/>
      <c r="D814" s="138" t="s">
        <v>934</v>
      </c>
      <c r="E814" s="138" t="s">
        <v>934</v>
      </c>
      <c r="F814" s="138" t="s">
        <v>934</v>
      </c>
      <c r="G814" s="138" t="s">
        <v>934</v>
      </c>
      <c r="H814" s="138" t="s">
        <v>934</v>
      </c>
      <c r="I814" s="129">
        <f>I815</f>
        <v>1322.4</v>
      </c>
      <c r="J814" s="129">
        <f t="shared" ref="J814:L814" si="234">J815</f>
        <v>1191.4000000000001</v>
      </c>
      <c r="K814" s="129">
        <f t="shared" si="234"/>
        <v>1136.8000000000002</v>
      </c>
      <c r="L814" s="139">
        <f t="shared" si="234"/>
        <v>36</v>
      </c>
      <c r="M814" s="138" t="s">
        <v>934</v>
      </c>
      <c r="N814" s="138" t="s">
        <v>934</v>
      </c>
      <c r="O814" s="136" t="s">
        <v>934</v>
      </c>
      <c r="P814" s="130">
        <v>3284631.43</v>
      </c>
      <c r="Q814" s="130">
        <f t="shared" ref="Q814:S814" si="235">Q815</f>
        <v>0</v>
      </c>
      <c r="R814" s="130">
        <f t="shared" si="235"/>
        <v>0</v>
      </c>
      <c r="S814" s="130">
        <f t="shared" si="235"/>
        <v>3284631.43</v>
      </c>
      <c r="T814" s="130">
        <f t="shared" si="210"/>
        <v>2483.8410692679977</v>
      </c>
      <c r="U814" s="130">
        <f>U815</f>
        <v>4578.7654963702353</v>
      </c>
    </row>
    <row r="815" spans="1:184" s="64" customFormat="1" ht="36" customHeight="1" x14ac:dyDescent="0.9">
      <c r="A815" s="64">
        <v>1</v>
      </c>
      <c r="B815" s="96">
        <f>SUBTOTAL(103,$A$561:A815)</f>
        <v>240</v>
      </c>
      <c r="C815" s="94" t="s">
        <v>1353</v>
      </c>
      <c r="D815" s="138">
        <v>1981</v>
      </c>
      <c r="E815" s="138"/>
      <c r="F815" s="167" t="s">
        <v>326</v>
      </c>
      <c r="G815" s="138">
        <v>2</v>
      </c>
      <c r="H815" s="138">
        <v>4</v>
      </c>
      <c r="I815" s="129">
        <v>1322.4</v>
      </c>
      <c r="J815" s="129">
        <v>1191.4000000000001</v>
      </c>
      <c r="K815" s="129">
        <v>1136.8000000000002</v>
      </c>
      <c r="L815" s="139">
        <v>36</v>
      </c>
      <c r="M815" s="138" t="s">
        <v>271</v>
      </c>
      <c r="N815" s="138" t="s">
        <v>272</v>
      </c>
      <c r="O815" s="136" t="s">
        <v>274</v>
      </c>
      <c r="P815" s="130">
        <v>3284631.43</v>
      </c>
      <c r="Q815" s="130">
        <v>0</v>
      </c>
      <c r="R815" s="130">
        <v>0</v>
      </c>
      <c r="S815" s="130">
        <f>P815-Q815-R815</f>
        <v>3284631.43</v>
      </c>
      <c r="T815" s="130">
        <f t="shared" si="210"/>
        <v>2483.8410692679977</v>
      </c>
      <c r="U815" s="130">
        <v>4578.7654963702353</v>
      </c>
    </row>
    <row r="816" spans="1:184" s="64" customFormat="1" ht="36" customHeight="1" x14ac:dyDescent="0.9">
      <c r="B816" s="94" t="s">
        <v>910</v>
      </c>
      <c r="C816" s="94"/>
      <c r="D816" s="138" t="s">
        <v>934</v>
      </c>
      <c r="E816" s="138" t="s">
        <v>934</v>
      </c>
      <c r="F816" s="138" t="s">
        <v>934</v>
      </c>
      <c r="G816" s="138" t="s">
        <v>934</v>
      </c>
      <c r="H816" s="138" t="s">
        <v>934</v>
      </c>
      <c r="I816" s="129">
        <f>I817</f>
        <v>924.3</v>
      </c>
      <c r="J816" s="129">
        <f t="shared" ref="J816:L816" si="236">J817</f>
        <v>558.9</v>
      </c>
      <c r="K816" s="129">
        <f t="shared" si="236"/>
        <v>527.1</v>
      </c>
      <c r="L816" s="139">
        <f t="shared" si="236"/>
        <v>24</v>
      </c>
      <c r="M816" s="138" t="s">
        <v>934</v>
      </c>
      <c r="N816" s="138" t="s">
        <v>934</v>
      </c>
      <c r="O816" s="136" t="s">
        <v>934</v>
      </c>
      <c r="P816" s="130">
        <v>2255220</v>
      </c>
      <c r="Q816" s="130">
        <f t="shared" ref="Q816:S816" si="237">Q817</f>
        <v>0</v>
      </c>
      <c r="R816" s="130">
        <f t="shared" si="237"/>
        <v>0</v>
      </c>
      <c r="S816" s="130">
        <f t="shared" si="237"/>
        <v>2255220</v>
      </c>
      <c r="T816" s="130">
        <f t="shared" si="210"/>
        <v>2439.9221032132427</v>
      </c>
      <c r="U816" s="130">
        <f>U817</f>
        <v>2892.2453878610841</v>
      </c>
    </row>
    <row r="817" spans="1:21" s="64" customFormat="1" ht="36" customHeight="1" x14ac:dyDescent="0.9">
      <c r="A817" s="64">
        <v>1</v>
      </c>
      <c r="B817" s="96">
        <f>SUBTOTAL(103,$A$561:A817)</f>
        <v>241</v>
      </c>
      <c r="C817" s="94" t="s">
        <v>247</v>
      </c>
      <c r="D817" s="138">
        <v>1986</v>
      </c>
      <c r="E817" s="138"/>
      <c r="F817" s="167" t="s">
        <v>319</v>
      </c>
      <c r="G817" s="138">
        <v>2</v>
      </c>
      <c r="H817" s="138">
        <v>2</v>
      </c>
      <c r="I817" s="129">
        <v>924.3</v>
      </c>
      <c r="J817" s="129">
        <v>558.9</v>
      </c>
      <c r="K817" s="129">
        <v>527.1</v>
      </c>
      <c r="L817" s="139">
        <v>24</v>
      </c>
      <c r="M817" s="138" t="s">
        <v>271</v>
      </c>
      <c r="N817" s="138" t="s">
        <v>272</v>
      </c>
      <c r="O817" s="136" t="s">
        <v>274</v>
      </c>
      <c r="P817" s="130">
        <v>2255220</v>
      </c>
      <c r="Q817" s="130">
        <v>0</v>
      </c>
      <c r="R817" s="130">
        <v>0</v>
      </c>
      <c r="S817" s="130">
        <f>P817-Q817-R817</f>
        <v>2255220</v>
      </c>
      <c r="T817" s="130">
        <f t="shared" si="210"/>
        <v>2439.9221032132427</v>
      </c>
      <c r="U817" s="130">
        <v>2892.2453878610841</v>
      </c>
    </row>
    <row r="818" spans="1:21" s="64" customFormat="1" ht="36" customHeight="1" x14ac:dyDescent="0.9">
      <c r="B818" s="94" t="s">
        <v>911</v>
      </c>
      <c r="C818" s="127"/>
      <c r="D818" s="138" t="s">
        <v>934</v>
      </c>
      <c r="E818" s="138" t="s">
        <v>934</v>
      </c>
      <c r="F818" s="138" t="s">
        <v>934</v>
      </c>
      <c r="G818" s="138" t="s">
        <v>934</v>
      </c>
      <c r="H818" s="138" t="s">
        <v>934</v>
      </c>
      <c r="I818" s="129">
        <f>I819</f>
        <v>622.4</v>
      </c>
      <c r="J818" s="129">
        <f t="shared" ref="J818:L818" si="238">J819</f>
        <v>576.29999999999995</v>
      </c>
      <c r="K818" s="129">
        <f t="shared" si="238"/>
        <v>453.4</v>
      </c>
      <c r="L818" s="139">
        <f t="shared" si="238"/>
        <v>35</v>
      </c>
      <c r="M818" s="138" t="s">
        <v>934</v>
      </c>
      <c r="N818" s="138" t="s">
        <v>934</v>
      </c>
      <c r="O818" s="136" t="s">
        <v>934</v>
      </c>
      <c r="P818" s="130">
        <v>2610900</v>
      </c>
      <c r="Q818" s="130">
        <f t="shared" ref="Q818:R818" si="239">Q819</f>
        <v>0</v>
      </c>
      <c r="R818" s="130">
        <f t="shared" si="239"/>
        <v>0</v>
      </c>
      <c r="S818" s="130">
        <f>S819</f>
        <v>2610900</v>
      </c>
      <c r="T818" s="130">
        <f t="shared" si="210"/>
        <v>4194.8907455012859</v>
      </c>
      <c r="U818" s="130">
        <f>U819</f>
        <v>4856.571336760926</v>
      </c>
    </row>
    <row r="819" spans="1:21" s="64" customFormat="1" ht="36" customHeight="1" x14ac:dyDescent="0.9">
      <c r="A819" s="64">
        <v>1</v>
      </c>
      <c r="B819" s="96">
        <f>SUBTOTAL(103,$A$561:A819)</f>
        <v>242</v>
      </c>
      <c r="C819" s="97" t="s">
        <v>2</v>
      </c>
      <c r="D819" s="138">
        <v>1963</v>
      </c>
      <c r="E819" s="138"/>
      <c r="F819" s="167" t="s">
        <v>273</v>
      </c>
      <c r="G819" s="138">
        <v>2</v>
      </c>
      <c r="H819" s="138">
        <v>2</v>
      </c>
      <c r="I819" s="129">
        <v>622.4</v>
      </c>
      <c r="J819" s="129">
        <v>576.29999999999995</v>
      </c>
      <c r="K819" s="129">
        <v>453.4</v>
      </c>
      <c r="L819" s="139">
        <v>35</v>
      </c>
      <c r="M819" s="138" t="s">
        <v>271</v>
      </c>
      <c r="N819" s="138" t="s">
        <v>272</v>
      </c>
      <c r="O819" s="136" t="s">
        <v>274</v>
      </c>
      <c r="P819" s="130">
        <v>2610900</v>
      </c>
      <c r="Q819" s="130">
        <v>0</v>
      </c>
      <c r="R819" s="130">
        <v>0</v>
      </c>
      <c r="S819" s="130">
        <f>P819-Q819-R819</f>
        <v>2610900</v>
      </c>
      <c r="T819" s="130">
        <f t="shared" si="210"/>
        <v>4194.8907455012859</v>
      </c>
      <c r="U819" s="130">
        <v>4856.571336760926</v>
      </c>
    </row>
    <row r="820" spans="1:21" s="64" customFormat="1" ht="36" customHeight="1" x14ac:dyDescent="0.9">
      <c r="B820" s="94" t="s">
        <v>912</v>
      </c>
      <c r="C820" s="97"/>
      <c r="D820" s="138" t="s">
        <v>934</v>
      </c>
      <c r="E820" s="138" t="s">
        <v>934</v>
      </c>
      <c r="F820" s="138" t="s">
        <v>934</v>
      </c>
      <c r="G820" s="138" t="s">
        <v>934</v>
      </c>
      <c r="H820" s="138" t="s">
        <v>934</v>
      </c>
      <c r="I820" s="129">
        <f>I821</f>
        <v>531.9</v>
      </c>
      <c r="J820" s="129">
        <f t="shared" ref="J820:L820" si="240">J821</f>
        <v>471.5</v>
      </c>
      <c r="K820" s="129">
        <f t="shared" si="240"/>
        <v>438.4</v>
      </c>
      <c r="L820" s="139">
        <f t="shared" si="240"/>
        <v>22</v>
      </c>
      <c r="M820" s="138" t="s">
        <v>934</v>
      </c>
      <c r="N820" s="138" t="s">
        <v>934</v>
      </c>
      <c r="O820" s="136" t="s">
        <v>934</v>
      </c>
      <c r="P820" s="130">
        <v>3133080</v>
      </c>
      <c r="Q820" s="130">
        <f t="shared" ref="Q820:S820" si="241">Q821</f>
        <v>0</v>
      </c>
      <c r="R820" s="130">
        <f t="shared" si="241"/>
        <v>0</v>
      </c>
      <c r="S820" s="130">
        <f t="shared" si="241"/>
        <v>3133080</v>
      </c>
      <c r="T820" s="130">
        <f t="shared" si="210"/>
        <v>5890.3553299492387</v>
      </c>
      <c r="U820" s="130">
        <f>U821</f>
        <v>6819.4698251551044</v>
      </c>
    </row>
    <row r="821" spans="1:21" s="64" customFormat="1" ht="36" customHeight="1" x14ac:dyDescent="0.9">
      <c r="A821" s="64">
        <v>1</v>
      </c>
      <c r="B821" s="96">
        <f>SUBTOTAL(103,$A$561:A821)</f>
        <v>243</v>
      </c>
      <c r="C821" s="97" t="s">
        <v>1</v>
      </c>
      <c r="D821" s="138">
        <v>1962</v>
      </c>
      <c r="E821" s="138"/>
      <c r="F821" s="167" t="s">
        <v>273</v>
      </c>
      <c r="G821" s="138">
        <v>2</v>
      </c>
      <c r="H821" s="138">
        <v>2</v>
      </c>
      <c r="I821" s="129">
        <v>531.9</v>
      </c>
      <c r="J821" s="129">
        <v>471.5</v>
      </c>
      <c r="K821" s="129">
        <v>438.4</v>
      </c>
      <c r="L821" s="139">
        <v>22</v>
      </c>
      <c r="M821" s="138" t="s">
        <v>271</v>
      </c>
      <c r="N821" s="138" t="s">
        <v>272</v>
      </c>
      <c r="O821" s="136" t="s">
        <v>274</v>
      </c>
      <c r="P821" s="130">
        <v>3133080</v>
      </c>
      <c r="Q821" s="130">
        <v>0</v>
      </c>
      <c r="R821" s="130">
        <v>0</v>
      </c>
      <c r="S821" s="130">
        <f>P821-Q821-R821</f>
        <v>3133080</v>
      </c>
      <c r="T821" s="130">
        <f t="shared" si="210"/>
        <v>5890.3553299492387</v>
      </c>
      <c r="U821" s="130">
        <v>6819.4698251551044</v>
      </c>
    </row>
    <row r="822" spans="1:21" s="64" customFormat="1" ht="36" customHeight="1" x14ac:dyDescent="0.9">
      <c r="B822" s="94" t="s">
        <v>871</v>
      </c>
      <c r="C822" s="126"/>
      <c r="D822" s="138" t="s">
        <v>934</v>
      </c>
      <c r="E822" s="138" t="s">
        <v>934</v>
      </c>
      <c r="F822" s="138" t="s">
        <v>934</v>
      </c>
      <c r="G822" s="138" t="s">
        <v>934</v>
      </c>
      <c r="H822" s="138" t="s">
        <v>934</v>
      </c>
      <c r="I822" s="129">
        <f>I823</f>
        <v>7845.75</v>
      </c>
      <c r="J822" s="129">
        <f t="shared" ref="J822:L822" si="242">J823</f>
        <v>6087.05</v>
      </c>
      <c r="K822" s="129">
        <f t="shared" si="242"/>
        <v>5920.85</v>
      </c>
      <c r="L822" s="139">
        <f t="shared" si="242"/>
        <v>225</v>
      </c>
      <c r="M822" s="138" t="s">
        <v>934</v>
      </c>
      <c r="N822" s="138" t="s">
        <v>934</v>
      </c>
      <c r="O822" s="136" t="s">
        <v>934</v>
      </c>
      <c r="P822" s="130">
        <v>7250046.1200000001</v>
      </c>
      <c r="Q822" s="130">
        <f t="shared" ref="Q822:S822" si="243">Q823</f>
        <v>0</v>
      </c>
      <c r="R822" s="130">
        <f t="shared" si="243"/>
        <v>0</v>
      </c>
      <c r="S822" s="130">
        <f t="shared" si="243"/>
        <v>7250046.1200000001</v>
      </c>
      <c r="T822" s="130">
        <f t="shared" si="210"/>
        <v>924.07304846572981</v>
      </c>
      <c r="U822" s="130">
        <f>U823</f>
        <v>1541.0789280820827</v>
      </c>
    </row>
    <row r="823" spans="1:21" s="64" customFormat="1" ht="36" customHeight="1" x14ac:dyDescent="0.9">
      <c r="A823" s="64">
        <v>1</v>
      </c>
      <c r="B823" s="96">
        <f>SUBTOTAL(103,$A$561:A823)</f>
        <v>244</v>
      </c>
      <c r="C823" s="94" t="s">
        <v>736</v>
      </c>
      <c r="D823" s="138">
        <v>1973</v>
      </c>
      <c r="E823" s="138">
        <v>1973</v>
      </c>
      <c r="F823" s="167" t="s">
        <v>326</v>
      </c>
      <c r="G823" s="138">
        <v>5</v>
      </c>
      <c r="H823" s="138">
        <v>8</v>
      </c>
      <c r="I823" s="129">
        <v>7845.75</v>
      </c>
      <c r="J823" s="129">
        <v>6087.05</v>
      </c>
      <c r="K823" s="129">
        <v>5920.85</v>
      </c>
      <c r="L823" s="139">
        <v>225</v>
      </c>
      <c r="M823" s="138" t="s">
        <v>271</v>
      </c>
      <c r="N823" s="138" t="s">
        <v>275</v>
      </c>
      <c r="O823" s="136" t="s">
        <v>770</v>
      </c>
      <c r="P823" s="130">
        <v>7250046.1200000001</v>
      </c>
      <c r="Q823" s="130">
        <v>0</v>
      </c>
      <c r="R823" s="130">
        <v>0</v>
      </c>
      <c r="S823" s="130">
        <f>P823-Q823-R823</f>
        <v>7250046.1200000001</v>
      </c>
      <c r="T823" s="130">
        <f t="shared" si="210"/>
        <v>924.07304846572981</v>
      </c>
      <c r="U823" s="130">
        <v>1541.0789280820827</v>
      </c>
    </row>
    <row r="824" spans="1:21" s="64" customFormat="1" ht="36" customHeight="1" x14ac:dyDescent="0.9">
      <c r="B824" s="94" t="s">
        <v>913</v>
      </c>
      <c r="C824" s="94"/>
      <c r="D824" s="138" t="s">
        <v>934</v>
      </c>
      <c r="E824" s="138" t="s">
        <v>934</v>
      </c>
      <c r="F824" s="138" t="s">
        <v>934</v>
      </c>
      <c r="G824" s="138" t="s">
        <v>934</v>
      </c>
      <c r="H824" s="138" t="s">
        <v>934</v>
      </c>
      <c r="I824" s="129">
        <f>I825</f>
        <v>550.20000000000005</v>
      </c>
      <c r="J824" s="129">
        <f t="shared" ref="J824:L824" si="244">J825</f>
        <v>517.20000000000005</v>
      </c>
      <c r="K824" s="129">
        <f t="shared" si="244"/>
        <v>517.20000000000005</v>
      </c>
      <c r="L824" s="139">
        <f t="shared" si="244"/>
        <v>20</v>
      </c>
      <c r="M824" s="138" t="s">
        <v>934</v>
      </c>
      <c r="N824" s="138" t="s">
        <v>934</v>
      </c>
      <c r="O824" s="136" t="s">
        <v>934</v>
      </c>
      <c r="P824" s="130">
        <v>2473090.71</v>
      </c>
      <c r="Q824" s="130">
        <f t="shared" ref="Q824:S824" si="245">Q825</f>
        <v>0</v>
      </c>
      <c r="R824" s="130">
        <f t="shared" si="245"/>
        <v>0</v>
      </c>
      <c r="S824" s="130">
        <f t="shared" si="245"/>
        <v>2473090.71</v>
      </c>
      <c r="T824" s="130">
        <f t="shared" si="210"/>
        <v>4494.894056706652</v>
      </c>
      <c r="U824" s="130">
        <f>U825</f>
        <v>6592.6499454743725</v>
      </c>
    </row>
    <row r="825" spans="1:21" s="64" customFormat="1" ht="36" customHeight="1" x14ac:dyDescent="0.9">
      <c r="A825" s="64">
        <v>1</v>
      </c>
      <c r="B825" s="96">
        <f>SUBTOTAL(103,$A$561:A825)</f>
        <v>245</v>
      </c>
      <c r="C825" s="94" t="s">
        <v>742</v>
      </c>
      <c r="D825" s="138">
        <v>1970</v>
      </c>
      <c r="E825" s="138"/>
      <c r="F825" s="167" t="s">
        <v>273</v>
      </c>
      <c r="G825" s="138">
        <v>2</v>
      </c>
      <c r="H825" s="138">
        <v>2</v>
      </c>
      <c r="I825" s="129">
        <v>550.20000000000005</v>
      </c>
      <c r="J825" s="129">
        <v>517.20000000000005</v>
      </c>
      <c r="K825" s="129">
        <v>517.20000000000005</v>
      </c>
      <c r="L825" s="139">
        <v>20</v>
      </c>
      <c r="M825" s="138" t="s">
        <v>271</v>
      </c>
      <c r="N825" s="138" t="s">
        <v>272</v>
      </c>
      <c r="O825" s="136" t="s">
        <v>274</v>
      </c>
      <c r="P825" s="130">
        <v>2473090.71</v>
      </c>
      <c r="Q825" s="130">
        <v>0</v>
      </c>
      <c r="R825" s="130">
        <v>0</v>
      </c>
      <c r="S825" s="130">
        <f>P825-Q825-R825</f>
        <v>2473090.71</v>
      </c>
      <c r="T825" s="130">
        <f t="shared" si="210"/>
        <v>4494.894056706652</v>
      </c>
      <c r="U825" s="130">
        <v>6592.6499454743725</v>
      </c>
    </row>
    <row r="826" spans="1:21" s="64" customFormat="1" ht="36" customHeight="1" x14ac:dyDescent="0.9">
      <c r="B826" s="94" t="s">
        <v>872</v>
      </c>
      <c r="C826" s="94"/>
      <c r="D826" s="138" t="s">
        <v>934</v>
      </c>
      <c r="E826" s="138" t="s">
        <v>934</v>
      </c>
      <c r="F826" s="138" t="s">
        <v>934</v>
      </c>
      <c r="G826" s="138" t="s">
        <v>934</v>
      </c>
      <c r="H826" s="138" t="s">
        <v>934</v>
      </c>
      <c r="I826" s="129">
        <f>I827</f>
        <v>1206.8</v>
      </c>
      <c r="J826" s="129">
        <f t="shared" ref="J826:L826" si="246">J827</f>
        <v>1107.8</v>
      </c>
      <c r="K826" s="129">
        <f t="shared" si="246"/>
        <v>1107.8</v>
      </c>
      <c r="L826" s="139">
        <f t="shared" si="246"/>
        <v>30</v>
      </c>
      <c r="M826" s="138" t="s">
        <v>934</v>
      </c>
      <c r="N826" s="138" t="s">
        <v>934</v>
      </c>
      <c r="O826" s="136" t="s">
        <v>934</v>
      </c>
      <c r="P826" s="130">
        <v>2622646.19</v>
      </c>
      <c r="Q826" s="130">
        <f t="shared" ref="Q826:S826" si="247">Q827</f>
        <v>0</v>
      </c>
      <c r="R826" s="130">
        <f t="shared" si="247"/>
        <v>0</v>
      </c>
      <c r="S826" s="130">
        <f t="shared" si="247"/>
        <v>2622646.19</v>
      </c>
      <c r="T826" s="130">
        <f t="shared" si="210"/>
        <v>2173.2235581703681</v>
      </c>
      <c r="U826" s="130">
        <f>U827</f>
        <v>3516.6663241630758</v>
      </c>
    </row>
    <row r="827" spans="1:21" s="64" customFormat="1" ht="36" customHeight="1" x14ac:dyDescent="0.9">
      <c r="A827" s="64">
        <v>1</v>
      </c>
      <c r="B827" s="96">
        <f>SUBTOTAL(103,$A$561:A827)</f>
        <v>246</v>
      </c>
      <c r="C827" s="94" t="s">
        <v>739</v>
      </c>
      <c r="D827" s="138">
        <v>1973</v>
      </c>
      <c r="E827" s="138">
        <v>2006</v>
      </c>
      <c r="F827" s="167" t="s">
        <v>273</v>
      </c>
      <c r="G827" s="138">
        <v>3</v>
      </c>
      <c r="H827" s="138">
        <v>2</v>
      </c>
      <c r="I827" s="129">
        <v>1206.8</v>
      </c>
      <c r="J827" s="129">
        <v>1107.8</v>
      </c>
      <c r="K827" s="129">
        <v>1107.8</v>
      </c>
      <c r="L827" s="139">
        <v>30</v>
      </c>
      <c r="M827" s="138" t="s">
        <v>271</v>
      </c>
      <c r="N827" s="138" t="s">
        <v>275</v>
      </c>
      <c r="O827" s="136" t="s">
        <v>771</v>
      </c>
      <c r="P827" s="130">
        <v>2622646.19</v>
      </c>
      <c r="Q827" s="130">
        <v>0</v>
      </c>
      <c r="R827" s="130">
        <v>0</v>
      </c>
      <c r="S827" s="130">
        <f>P827-Q827-R827</f>
        <v>2622646.19</v>
      </c>
      <c r="T827" s="130">
        <f t="shared" si="210"/>
        <v>2173.2235581703681</v>
      </c>
      <c r="U827" s="130">
        <v>3516.6663241630758</v>
      </c>
    </row>
    <row r="828" spans="1:21" s="64" customFormat="1" ht="36" customHeight="1" x14ac:dyDescent="0.9">
      <c r="B828" s="94" t="s">
        <v>874</v>
      </c>
      <c r="C828" s="126"/>
      <c r="D828" s="138" t="s">
        <v>934</v>
      </c>
      <c r="E828" s="138" t="s">
        <v>934</v>
      </c>
      <c r="F828" s="138" t="s">
        <v>934</v>
      </c>
      <c r="G828" s="138" t="s">
        <v>934</v>
      </c>
      <c r="H828" s="138" t="s">
        <v>934</v>
      </c>
      <c r="I828" s="129">
        <f>SUM(I829:I836)</f>
        <v>14693.869999999999</v>
      </c>
      <c r="J828" s="129">
        <f t="shared" ref="J828:L828" si="248">SUM(J829:J836)</f>
        <v>11242.789999999999</v>
      </c>
      <c r="K828" s="129">
        <f t="shared" si="248"/>
        <v>11093.99</v>
      </c>
      <c r="L828" s="139">
        <f t="shared" si="248"/>
        <v>542</v>
      </c>
      <c r="M828" s="138" t="s">
        <v>934</v>
      </c>
      <c r="N828" s="138" t="s">
        <v>934</v>
      </c>
      <c r="O828" s="136" t="s">
        <v>934</v>
      </c>
      <c r="P828" s="130">
        <v>29283340</v>
      </c>
      <c r="Q828" s="130">
        <f t="shared" ref="Q828:S828" si="249">SUM(Q829:Q836)</f>
        <v>0</v>
      </c>
      <c r="R828" s="130">
        <f t="shared" si="249"/>
        <v>0</v>
      </c>
      <c r="S828" s="130">
        <f t="shared" si="249"/>
        <v>29283340</v>
      </c>
      <c r="T828" s="130">
        <f t="shared" si="210"/>
        <v>1992.8949963488178</v>
      </c>
      <c r="U828" s="130">
        <f>MAX(U829:U836)</f>
        <v>5562.5346323979629</v>
      </c>
    </row>
    <row r="829" spans="1:21" s="64" customFormat="1" ht="36" customHeight="1" x14ac:dyDescent="0.9">
      <c r="A829" s="64">
        <v>1</v>
      </c>
      <c r="B829" s="96">
        <f>SUBTOTAL(103,$A$561:A829)</f>
        <v>247</v>
      </c>
      <c r="C829" s="94" t="s">
        <v>124</v>
      </c>
      <c r="D829" s="138">
        <v>1992</v>
      </c>
      <c r="E829" s="138"/>
      <c r="F829" s="167" t="s">
        <v>273</v>
      </c>
      <c r="G829" s="138">
        <v>3</v>
      </c>
      <c r="H829" s="138">
        <v>2</v>
      </c>
      <c r="I829" s="129">
        <v>1555.9</v>
      </c>
      <c r="J829" s="129">
        <v>1062.8</v>
      </c>
      <c r="K829" s="129">
        <v>1019.8</v>
      </c>
      <c r="L829" s="139">
        <v>42</v>
      </c>
      <c r="M829" s="138" t="s">
        <v>271</v>
      </c>
      <c r="N829" s="138" t="s">
        <v>275</v>
      </c>
      <c r="O829" s="136" t="s">
        <v>290</v>
      </c>
      <c r="P829" s="130">
        <v>3312500</v>
      </c>
      <c r="Q829" s="130">
        <v>0</v>
      </c>
      <c r="R829" s="130">
        <v>0</v>
      </c>
      <c r="S829" s="130">
        <f t="shared" ref="S829:S836" si="250">P829-Q829-R829</f>
        <v>3312500</v>
      </c>
      <c r="T829" s="130">
        <f t="shared" si="210"/>
        <v>2128.9928658654153</v>
      </c>
      <c r="U829" s="130">
        <v>2574.148242174947</v>
      </c>
    </row>
    <row r="830" spans="1:21" s="64" customFormat="1" ht="36" customHeight="1" x14ac:dyDescent="0.9">
      <c r="A830" s="64">
        <v>1</v>
      </c>
      <c r="B830" s="96">
        <f>SUBTOTAL(103,$A$561:A830)</f>
        <v>248</v>
      </c>
      <c r="C830" s="94" t="s">
        <v>129</v>
      </c>
      <c r="D830" s="138">
        <v>1983</v>
      </c>
      <c r="E830" s="138"/>
      <c r="F830" s="167" t="s">
        <v>273</v>
      </c>
      <c r="G830" s="138">
        <v>2</v>
      </c>
      <c r="H830" s="138">
        <v>3</v>
      </c>
      <c r="I830" s="129">
        <v>1039.7</v>
      </c>
      <c r="J830" s="129">
        <v>968.1</v>
      </c>
      <c r="K830" s="129">
        <v>908.6</v>
      </c>
      <c r="L830" s="139">
        <v>46</v>
      </c>
      <c r="M830" s="138" t="s">
        <v>271</v>
      </c>
      <c r="N830" s="138" t="s">
        <v>275</v>
      </c>
      <c r="O830" s="136" t="s">
        <v>290</v>
      </c>
      <c r="P830" s="130">
        <v>3771000</v>
      </c>
      <c r="Q830" s="130">
        <v>0</v>
      </c>
      <c r="R830" s="130">
        <v>0</v>
      </c>
      <c r="S830" s="130">
        <f t="shared" si="250"/>
        <v>3771000</v>
      </c>
      <c r="T830" s="130">
        <f t="shared" si="210"/>
        <v>3627.007790708858</v>
      </c>
      <c r="U830" s="130">
        <v>4385.3861036837552</v>
      </c>
    </row>
    <row r="831" spans="1:21" s="64" customFormat="1" ht="36" customHeight="1" x14ac:dyDescent="0.9">
      <c r="A831" s="64">
        <v>1</v>
      </c>
      <c r="B831" s="96">
        <f>SUBTOTAL(103,$A$561:A831)</f>
        <v>249</v>
      </c>
      <c r="C831" s="94" t="s">
        <v>127</v>
      </c>
      <c r="D831" s="138">
        <v>1981</v>
      </c>
      <c r="E831" s="138"/>
      <c r="F831" s="167" t="s">
        <v>273</v>
      </c>
      <c r="G831" s="138">
        <v>2</v>
      </c>
      <c r="H831" s="138">
        <v>3</v>
      </c>
      <c r="I831" s="129">
        <v>1572.8</v>
      </c>
      <c r="J831" s="129">
        <v>971.5</v>
      </c>
      <c r="K831" s="129">
        <v>925.2</v>
      </c>
      <c r="L831" s="139">
        <v>44</v>
      </c>
      <c r="M831" s="138" t="s">
        <v>271</v>
      </c>
      <c r="N831" s="138" t="s">
        <v>275</v>
      </c>
      <c r="O831" s="136" t="s">
        <v>290</v>
      </c>
      <c r="P831" s="130">
        <v>4430000</v>
      </c>
      <c r="Q831" s="130">
        <v>0</v>
      </c>
      <c r="R831" s="130">
        <v>0</v>
      </c>
      <c r="S831" s="130">
        <f t="shared" si="250"/>
        <v>4430000</v>
      </c>
      <c r="T831" s="130">
        <f t="shared" si="210"/>
        <v>2816.6327568667348</v>
      </c>
      <c r="U831" s="130">
        <v>3405.5681332655136</v>
      </c>
    </row>
    <row r="832" spans="1:21" s="64" customFormat="1" ht="36" customHeight="1" x14ac:dyDescent="0.9">
      <c r="A832" s="64">
        <v>1</v>
      </c>
      <c r="B832" s="96">
        <f>SUBTOTAL(103,$A$561:A832)</f>
        <v>250</v>
      </c>
      <c r="C832" s="94" t="s">
        <v>130</v>
      </c>
      <c r="D832" s="138">
        <v>1975</v>
      </c>
      <c r="E832" s="138"/>
      <c r="F832" s="167" t="s">
        <v>273</v>
      </c>
      <c r="G832" s="138">
        <v>2</v>
      </c>
      <c r="H832" s="138">
        <v>2</v>
      </c>
      <c r="I832" s="129">
        <v>786.44</v>
      </c>
      <c r="J832" s="129">
        <v>726.3</v>
      </c>
      <c r="K832" s="129">
        <v>726.3</v>
      </c>
      <c r="L832" s="139">
        <v>27</v>
      </c>
      <c r="M832" s="138" t="s">
        <v>271</v>
      </c>
      <c r="N832" s="138" t="s">
        <v>275</v>
      </c>
      <c r="O832" s="136" t="s">
        <v>290</v>
      </c>
      <c r="P832" s="130">
        <v>3350000</v>
      </c>
      <c r="Q832" s="130">
        <v>0</v>
      </c>
      <c r="R832" s="130">
        <v>0</v>
      </c>
      <c r="S832" s="130">
        <f t="shared" si="250"/>
        <v>3350000</v>
      </c>
      <c r="T832" s="130">
        <f t="shared" si="210"/>
        <v>4259.7019480189201</v>
      </c>
      <c r="U832" s="130">
        <v>5150.3715477340929</v>
      </c>
    </row>
    <row r="833" spans="1:21" s="64" customFormat="1" ht="36" customHeight="1" x14ac:dyDescent="0.9">
      <c r="A833" s="64">
        <v>1</v>
      </c>
      <c r="B833" s="96">
        <f>SUBTOTAL(103,$A$561:A833)</f>
        <v>251</v>
      </c>
      <c r="C833" s="94" t="s">
        <v>128</v>
      </c>
      <c r="D833" s="138">
        <v>1972</v>
      </c>
      <c r="E833" s="138"/>
      <c r="F833" s="167" t="s">
        <v>273</v>
      </c>
      <c r="G833" s="138">
        <v>2</v>
      </c>
      <c r="H833" s="138">
        <v>2</v>
      </c>
      <c r="I833" s="129">
        <v>669.61</v>
      </c>
      <c r="J833" s="129">
        <v>621.29</v>
      </c>
      <c r="K833" s="129">
        <v>621.29</v>
      </c>
      <c r="L833" s="139">
        <v>12</v>
      </c>
      <c r="M833" s="138" t="s">
        <v>271</v>
      </c>
      <c r="N833" s="138" t="s">
        <v>275</v>
      </c>
      <c r="O833" s="136" t="s">
        <v>291</v>
      </c>
      <c r="P833" s="130">
        <v>3080600</v>
      </c>
      <c r="Q833" s="130">
        <v>0</v>
      </c>
      <c r="R833" s="130">
        <v>0</v>
      </c>
      <c r="S833" s="130">
        <f t="shared" si="250"/>
        <v>3080600</v>
      </c>
      <c r="T833" s="130">
        <f t="shared" si="210"/>
        <v>4600.5884022042683</v>
      </c>
      <c r="U833" s="130">
        <v>5562.5346323979629</v>
      </c>
    </row>
    <row r="834" spans="1:21" s="64" customFormat="1" ht="36" customHeight="1" x14ac:dyDescent="0.9">
      <c r="A834" s="64">
        <v>1</v>
      </c>
      <c r="B834" s="96">
        <f>SUBTOTAL(103,$A$561:A834)</f>
        <v>252</v>
      </c>
      <c r="C834" s="94" t="s">
        <v>125</v>
      </c>
      <c r="D834" s="138">
        <v>1978</v>
      </c>
      <c r="E834" s="138"/>
      <c r="F834" s="167" t="s">
        <v>293</v>
      </c>
      <c r="G834" s="138">
        <v>5</v>
      </c>
      <c r="H834" s="138">
        <v>4</v>
      </c>
      <c r="I834" s="129">
        <v>4027.2</v>
      </c>
      <c r="J834" s="129">
        <v>3079</v>
      </c>
      <c r="K834" s="129">
        <v>3079</v>
      </c>
      <c r="L834" s="139">
        <v>157</v>
      </c>
      <c r="M834" s="138" t="s">
        <v>271</v>
      </c>
      <c r="N834" s="138" t="s">
        <v>275</v>
      </c>
      <c r="O834" s="136" t="s">
        <v>291</v>
      </c>
      <c r="P834" s="130">
        <v>3404280</v>
      </c>
      <c r="Q834" s="130">
        <v>0</v>
      </c>
      <c r="R834" s="130">
        <v>0</v>
      </c>
      <c r="S834" s="130">
        <f t="shared" si="250"/>
        <v>3404280</v>
      </c>
      <c r="T834" s="130">
        <f t="shared" si="210"/>
        <v>845.32181168057218</v>
      </c>
      <c r="U834" s="130">
        <v>1161.4452726460074</v>
      </c>
    </row>
    <row r="835" spans="1:21" s="64" customFormat="1" ht="36" customHeight="1" x14ac:dyDescent="0.9">
      <c r="A835" s="64">
        <v>1</v>
      </c>
      <c r="B835" s="96">
        <f>SUBTOTAL(103,$A$561:A835)</f>
        <v>253</v>
      </c>
      <c r="C835" s="94" t="s">
        <v>126</v>
      </c>
      <c r="D835" s="138">
        <v>1986</v>
      </c>
      <c r="E835" s="138"/>
      <c r="F835" s="167" t="s">
        <v>273</v>
      </c>
      <c r="G835" s="138">
        <v>5</v>
      </c>
      <c r="H835" s="138">
        <v>1</v>
      </c>
      <c r="I835" s="129">
        <v>3459.92</v>
      </c>
      <c r="J835" s="129">
        <v>2342</v>
      </c>
      <c r="K835" s="129">
        <v>2342</v>
      </c>
      <c r="L835" s="139">
        <v>145</v>
      </c>
      <c r="M835" s="138" t="s">
        <v>271</v>
      </c>
      <c r="N835" s="138" t="s">
        <v>275</v>
      </c>
      <c r="O835" s="136" t="s">
        <v>291</v>
      </c>
      <c r="P835" s="130">
        <v>4675000</v>
      </c>
      <c r="Q835" s="130">
        <v>0</v>
      </c>
      <c r="R835" s="130">
        <v>0</v>
      </c>
      <c r="S835" s="130">
        <f t="shared" si="250"/>
        <v>4675000</v>
      </c>
      <c r="T835" s="130">
        <f t="shared" si="210"/>
        <v>1351.1873106892645</v>
      </c>
      <c r="U835" s="130">
        <v>1633.7097678559041</v>
      </c>
    </row>
    <row r="836" spans="1:21" s="64" customFormat="1" ht="36" customHeight="1" x14ac:dyDescent="0.9">
      <c r="A836" s="64">
        <v>1</v>
      </c>
      <c r="B836" s="96">
        <f>SUBTOTAL(103,$A$561:A836)</f>
        <v>254</v>
      </c>
      <c r="C836" s="94" t="s">
        <v>131</v>
      </c>
      <c r="D836" s="138">
        <v>1978</v>
      </c>
      <c r="E836" s="138"/>
      <c r="F836" s="167" t="s">
        <v>273</v>
      </c>
      <c r="G836" s="138">
        <v>3</v>
      </c>
      <c r="H836" s="138">
        <v>3</v>
      </c>
      <c r="I836" s="129">
        <v>1582.3</v>
      </c>
      <c r="J836" s="129">
        <v>1471.8</v>
      </c>
      <c r="K836" s="129">
        <v>1471.8</v>
      </c>
      <c r="L836" s="139">
        <v>69</v>
      </c>
      <c r="M836" s="138" t="s">
        <v>271</v>
      </c>
      <c r="N836" s="138" t="s">
        <v>275</v>
      </c>
      <c r="O836" s="136" t="s">
        <v>291</v>
      </c>
      <c r="P836" s="130">
        <v>3259960</v>
      </c>
      <c r="Q836" s="130">
        <v>0</v>
      </c>
      <c r="R836" s="130">
        <v>0</v>
      </c>
      <c r="S836" s="130">
        <f t="shared" si="250"/>
        <v>3259960</v>
      </c>
      <c r="T836" s="130">
        <f t="shared" si="210"/>
        <v>2060.2667003728748</v>
      </c>
      <c r="U836" s="130">
        <v>2830.740892371864</v>
      </c>
    </row>
    <row r="837" spans="1:21" s="64" customFormat="1" ht="36" customHeight="1" x14ac:dyDescent="0.9">
      <c r="B837" s="94" t="s">
        <v>879</v>
      </c>
      <c r="C837" s="126"/>
      <c r="D837" s="138" t="s">
        <v>934</v>
      </c>
      <c r="E837" s="138" t="s">
        <v>934</v>
      </c>
      <c r="F837" s="138" t="s">
        <v>934</v>
      </c>
      <c r="G837" s="138" t="s">
        <v>934</v>
      </c>
      <c r="H837" s="138" t="s">
        <v>934</v>
      </c>
      <c r="I837" s="129">
        <f>I838</f>
        <v>791.5</v>
      </c>
      <c r="J837" s="129">
        <f t="shared" ref="J837:L837" si="251">J838</f>
        <v>725.1</v>
      </c>
      <c r="K837" s="129">
        <f t="shared" si="251"/>
        <v>725.1</v>
      </c>
      <c r="L837" s="139">
        <f t="shared" si="251"/>
        <v>42</v>
      </c>
      <c r="M837" s="138" t="s">
        <v>934</v>
      </c>
      <c r="N837" s="138" t="s">
        <v>934</v>
      </c>
      <c r="O837" s="136" t="s">
        <v>934</v>
      </c>
      <c r="P837" s="130">
        <v>3328825.5</v>
      </c>
      <c r="Q837" s="130">
        <f t="shared" ref="Q837:S837" si="252">Q838</f>
        <v>0</v>
      </c>
      <c r="R837" s="130">
        <f t="shared" si="252"/>
        <v>0</v>
      </c>
      <c r="S837" s="130">
        <f t="shared" si="252"/>
        <v>3328825.5</v>
      </c>
      <c r="T837" s="130">
        <f t="shared" si="210"/>
        <v>4205.7176247631078</v>
      </c>
      <c r="U837" s="130">
        <f>U838</f>
        <v>4964.6860391661403</v>
      </c>
    </row>
    <row r="838" spans="1:21" s="64" customFormat="1" ht="36" customHeight="1" x14ac:dyDescent="0.9">
      <c r="A838" s="64">
        <v>1</v>
      </c>
      <c r="B838" s="96">
        <f>SUBTOTAL(103,$A$561:A838)</f>
        <v>255</v>
      </c>
      <c r="C838" s="94" t="s">
        <v>180</v>
      </c>
      <c r="D838" s="138">
        <v>1968</v>
      </c>
      <c r="E838" s="138">
        <v>2009</v>
      </c>
      <c r="F838" s="167" t="s">
        <v>273</v>
      </c>
      <c r="G838" s="138">
        <v>2</v>
      </c>
      <c r="H838" s="138">
        <v>2</v>
      </c>
      <c r="I838" s="129">
        <v>791.5</v>
      </c>
      <c r="J838" s="129">
        <v>725.1</v>
      </c>
      <c r="K838" s="129">
        <v>725.1</v>
      </c>
      <c r="L838" s="139">
        <v>42</v>
      </c>
      <c r="M838" s="138" t="s">
        <v>271</v>
      </c>
      <c r="N838" s="138" t="s">
        <v>272</v>
      </c>
      <c r="O838" s="136" t="s">
        <v>274</v>
      </c>
      <c r="P838" s="130">
        <v>3328825.5</v>
      </c>
      <c r="Q838" s="130">
        <v>0</v>
      </c>
      <c r="R838" s="130">
        <v>0</v>
      </c>
      <c r="S838" s="130">
        <f>P838-Q838-R838</f>
        <v>3328825.5</v>
      </c>
      <c r="T838" s="130">
        <f t="shared" si="210"/>
        <v>4205.7176247631078</v>
      </c>
      <c r="U838" s="130">
        <v>4964.6860391661403</v>
      </c>
    </row>
    <row r="839" spans="1:21" s="64" customFormat="1" ht="36" customHeight="1" x14ac:dyDescent="0.9">
      <c r="B839" s="94" t="s">
        <v>878</v>
      </c>
      <c r="C839" s="94"/>
      <c r="D839" s="138" t="s">
        <v>934</v>
      </c>
      <c r="E839" s="138" t="s">
        <v>934</v>
      </c>
      <c r="F839" s="138" t="s">
        <v>934</v>
      </c>
      <c r="G839" s="138" t="s">
        <v>934</v>
      </c>
      <c r="H839" s="138" t="s">
        <v>934</v>
      </c>
      <c r="I839" s="129">
        <f>I840+I841</f>
        <v>910.90000000000009</v>
      </c>
      <c r="J839" s="129">
        <f t="shared" ref="J839:L839" si="253">J840+J841</f>
        <v>796.59999999999991</v>
      </c>
      <c r="K839" s="129">
        <f t="shared" si="253"/>
        <v>753.7</v>
      </c>
      <c r="L839" s="139">
        <f t="shared" si="253"/>
        <v>39</v>
      </c>
      <c r="M839" s="138" t="s">
        <v>934</v>
      </c>
      <c r="N839" s="138" t="s">
        <v>934</v>
      </c>
      <c r="O839" s="136" t="s">
        <v>934</v>
      </c>
      <c r="P839" s="130">
        <v>5279138.41</v>
      </c>
      <c r="Q839" s="130">
        <f t="shared" ref="Q839:S839" si="254">Q840+Q841</f>
        <v>0</v>
      </c>
      <c r="R839" s="130">
        <f t="shared" si="254"/>
        <v>0</v>
      </c>
      <c r="S839" s="130">
        <f t="shared" si="254"/>
        <v>5279138.41</v>
      </c>
      <c r="T839" s="130">
        <f t="shared" si="210"/>
        <v>5795.5191678559659</v>
      </c>
      <c r="U839" s="130">
        <f>MAX(U840:U841)</f>
        <v>7302.6412350597611</v>
      </c>
    </row>
    <row r="840" spans="1:21" s="64" customFormat="1" ht="36" customHeight="1" x14ac:dyDescent="0.9">
      <c r="A840" s="64">
        <v>1</v>
      </c>
      <c r="B840" s="96">
        <f>SUBTOTAL(103,$A$561:A840)</f>
        <v>256</v>
      </c>
      <c r="C840" s="94" t="s">
        <v>178</v>
      </c>
      <c r="D840" s="138">
        <v>1955</v>
      </c>
      <c r="E840" s="138"/>
      <c r="F840" s="167" t="s">
        <v>273</v>
      </c>
      <c r="G840" s="138">
        <v>2</v>
      </c>
      <c r="H840" s="138">
        <v>2</v>
      </c>
      <c r="I840" s="129">
        <v>451.8</v>
      </c>
      <c r="J840" s="129">
        <v>395.2</v>
      </c>
      <c r="K840" s="129">
        <v>395.2</v>
      </c>
      <c r="L840" s="139">
        <v>16</v>
      </c>
      <c r="M840" s="138" t="s">
        <v>271</v>
      </c>
      <c r="N840" s="138" t="s">
        <v>345</v>
      </c>
      <c r="O840" s="136" t="s">
        <v>347</v>
      </c>
      <c r="P840" s="130">
        <v>2721526.66</v>
      </c>
      <c r="Q840" s="130">
        <v>0</v>
      </c>
      <c r="R840" s="130">
        <v>0</v>
      </c>
      <c r="S840" s="130">
        <f t="shared" ref="S840:S841" si="255">P840-Q840-R840</f>
        <v>2721526.66</v>
      </c>
      <c r="T840" s="130">
        <f t="shared" si="210"/>
        <v>6023.7420540061976</v>
      </c>
      <c r="U840" s="130">
        <v>7302.6412350597611</v>
      </c>
    </row>
    <row r="841" spans="1:21" s="64" customFormat="1" ht="36" customHeight="1" x14ac:dyDescent="0.9">
      <c r="A841" s="64">
        <v>1</v>
      </c>
      <c r="B841" s="96">
        <f>SUBTOTAL(103,$A$561:A841)</f>
        <v>257</v>
      </c>
      <c r="C841" s="94" t="s">
        <v>179</v>
      </c>
      <c r="D841" s="138">
        <v>1956</v>
      </c>
      <c r="E841" s="138">
        <v>2010</v>
      </c>
      <c r="F841" s="167" t="s">
        <v>273</v>
      </c>
      <c r="G841" s="138">
        <v>2</v>
      </c>
      <c r="H841" s="138">
        <v>2</v>
      </c>
      <c r="I841" s="129">
        <v>459.1</v>
      </c>
      <c r="J841" s="129">
        <v>401.4</v>
      </c>
      <c r="K841" s="129">
        <v>358.5</v>
      </c>
      <c r="L841" s="139">
        <v>23</v>
      </c>
      <c r="M841" s="138" t="s">
        <v>271</v>
      </c>
      <c r="N841" s="138" t="s">
        <v>345</v>
      </c>
      <c r="O841" s="136" t="s">
        <v>347</v>
      </c>
      <c r="P841" s="130">
        <v>2557611.75</v>
      </c>
      <c r="Q841" s="130">
        <v>0</v>
      </c>
      <c r="R841" s="130">
        <v>0</v>
      </c>
      <c r="S841" s="130">
        <f t="shared" si="255"/>
        <v>2557611.75</v>
      </c>
      <c r="T841" s="130">
        <f t="shared" si="210"/>
        <v>5570.9251796994113</v>
      </c>
      <c r="U841" s="130">
        <v>6662.0176323241121</v>
      </c>
    </row>
    <row r="842" spans="1:21" s="64" customFormat="1" ht="36" customHeight="1" x14ac:dyDescent="0.9">
      <c r="B842" s="94" t="s">
        <v>914</v>
      </c>
      <c r="C842" s="94"/>
      <c r="D842" s="138" t="s">
        <v>934</v>
      </c>
      <c r="E842" s="138" t="s">
        <v>934</v>
      </c>
      <c r="F842" s="138" t="s">
        <v>934</v>
      </c>
      <c r="G842" s="138" t="s">
        <v>934</v>
      </c>
      <c r="H842" s="138" t="s">
        <v>934</v>
      </c>
      <c r="I842" s="129">
        <f>I843</f>
        <v>960.39</v>
      </c>
      <c r="J842" s="129">
        <f t="shared" ref="J842:L842" si="256">J843</f>
        <v>880.42</v>
      </c>
      <c r="K842" s="129">
        <f t="shared" si="256"/>
        <v>880.42</v>
      </c>
      <c r="L842" s="139">
        <f t="shared" si="256"/>
        <v>48</v>
      </c>
      <c r="M842" s="138" t="s">
        <v>934</v>
      </c>
      <c r="N842" s="138" t="s">
        <v>934</v>
      </c>
      <c r="O842" s="136" t="s">
        <v>934</v>
      </c>
      <c r="P842" s="130">
        <v>4178956.32</v>
      </c>
      <c r="Q842" s="130">
        <f t="shared" ref="Q842:S842" si="257">Q843</f>
        <v>0</v>
      </c>
      <c r="R842" s="130">
        <f t="shared" si="257"/>
        <v>0</v>
      </c>
      <c r="S842" s="130">
        <f t="shared" si="257"/>
        <v>4178956.32</v>
      </c>
      <c r="T842" s="130">
        <f t="shared" si="210"/>
        <v>4351.3117795895414</v>
      </c>
      <c r="U842" s="130">
        <f>U843</f>
        <v>5136.5542748258522</v>
      </c>
    </row>
    <row r="843" spans="1:21" s="64" customFormat="1" ht="36" customHeight="1" x14ac:dyDescent="0.9">
      <c r="A843" s="64">
        <v>1</v>
      </c>
      <c r="B843" s="96">
        <f>SUBTOTAL(103,$A$561:A843)</f>
        <v>258</v>
      </c>
      <c r="C843" s="94" t="s">
        <v>177</v>
      </c>
      <c r="D843" s="138">
        <v>1969</v>
      </c>
      <c r="E843" s="138"/>
      <c r="F843" s="167" t="s">
        <v>273</v>
      </c>
      <c r="G843" s="138">
        <v>2</v>
      </c>
      <c r="H843" s="138">
        <v>3</v>
      </c>
      <c r="I843" s="129">
        <v>960.39</v>
      </c>
      <c r="J843" s="129">
        <v>880.42</v>
      </c>
      <c r="K843" s="129">
        <v>880.42</v>
      </c>
      <c r="L843" s="139">
        <v>48</v>
      </c>
      <c r="M843" s="138" t="s">
        <v>271</v>
      </c>
      <c r="N843" s="138" t="s">
        <v>345</v>
      </c>
      <c r="O843" s="136" t="s">
        <v>346</v>
      </c>
      <c r="P843" s="130">
        <v>4178956.32</v>
      </c>
      <c r="Q843" s="130">
        <v>0</v>
      </c>
      <c r="R843" s="130">
        <v>0</v>
      </c>
      <c r="S843" s="130">
        <f>P843-Q843-R843</f>
        <v>4178956.32</v>
      </c>
      <c r="T843" s="130">
        <f t="shared" si="210"/>
        <v>4351.3117795895414</v>
      </c>
      <c r="U843" s="130">
        <v>5136.5542748258522</v>
      </c>
    </row>
    <row r="844" spans="1:21" s="64" customFormat="1" ht="36" customHeight="1" x14ac:dyDescent="0.9">
      <c r="B844" s="94" t="s">
        <v>880</v>
      </c>
      <c r="C844" s="94"/>
      <c r="D844" s="138" t="s">
        <v>934</v>
      </c>
      <c r="E844" s="138" t="s">
        <v>934</v>
      </c>
      <c r="F844" s="138" t="s">
        <v>934</v>
      </c>
      <c r="G844" s="138" t="s">
        <v>934</v>
      </c>
      <c r="H844" s="138" t="s">
        <v>934</v>
      </c>
      <c r="I844" s="129">
        <f>I845</f>
        <v>388.8</v>
      </c>
      <c r="J844" s="129">
        <f t="shared" ref="J844:L844" si="258">J845</f>
        <v>354.2</v>
      </c>
      <c r="K844" s="129">
        <f t="shared" si="258"/>
        <v>354.2</v>
      </c>
      <c r="L844" s="139">
        <f t="shared" si="258"/>
        <v>14</v>
      </c>
      <c r="M844" s="138" t="s">
        <v>934</v>
      </c>
      <c r="N844" s="138" t="s">
        <v>934</v>
      </c>
      <c r="O844" s="136" t="s">
        <v>934</v>
      </c>
      <c r="P844" s="130">
        <v>1889236.5</v>
      </c>
      <c r="Q844" s="130">
        <f t="shared" ref="Q844:S844" si="259">Q845</f>
        <v>0</v>
      </c>
      <c r="R844" s="130">
        <f t="shared" si="259"/>
        <v>0</v>
      </c>
      <c r="S844" s="130">
        <f t="shared" si="259"/>
        <v>1889236.5</v>
      </c>
      <c r="T844" s="130">
        <f t="shared" si="210"/>
        <v>4859.1473765432102</v>
      </c>
      <c r="U844" s="130">
        <f>U845</f>
        <v>5736.0344495884765</v>
      </c>
    </row>
    <row r="845" spans="1:21" s="64" customFormat="1" ht="36" customHeight="1" x14ac:dyDescent="0.9">
      <c r="A845" s="64">
        <v>1</v>
      </c>
      <c r="B845" s="96">
        <f>SUBTOTAL(103,$A$561:A845)</f>
        <v>259</v>
      </c>
      <c r="C845" s="94" t="s">
        <v>176</v>
      </c>
      <c r="D845" s="138">
        <v>1969</v>
      </c>
      <c r="E845" s="138"/>
      <c r="F845" s="167" t="s">
        <v>273</v>
      </c>
      <c r="G845" s="138">
        <v>2</v>
      </c>
      <c r="H845" s="138">
        <v>1</v>
      </c>
      <c r="I845" s="129">
        <v>388.8</v>
      </c>
      <c r="J845" s="129">
        <v>354.2</v>
      </c>
      <c r="K845" s="129">
        <v>354.2</v>
      </c>
      <c r="L845" s="139">
        <v>14</v>
      </c>
      <c r="M845" s="138" t="s">
        <v>271</v>
      </c>
      <c r="N845" s="138" t="s">
        <v>345</v>
      </c>
      <c r="O845" s="136" t="s">
        <v>346</v>
      </c>
      <c r="P845" s="130">
        <v>1889236.5</v>
      </c>
      <c r="Q845" s="130">
        <v>0</v>
      </c>
      <c r="R845" s="130">
        <v>0</v>
      </c>
      <c r="S845" s="130">
        <f>P845-Q845-R845</f>
        <v>1889236.5</v>
      </c>
      <c r="T845" s="130">
        <f t="shared" ref="T845:T909" si="260">P845/I845</f>
        <v>4859.1473765432102</v>
      </c>
      <c r="U845" s="130">
        <v>5736.0344495884765</v>
      </c>
    </row>
    <row r="846" spans="1:21" s="64" customFormat="1" ht="36" customHeight="1" x14ac:dyDescent="0.9">
      <c r="B846" s="94" t="s">
        <v>881</v>
      </c>
      <c r="C846" s="126"/>
      <c r="D846" s="138" t="s">
        <v>934</v>
      </c>
      <c r="E846" s="138" t="s">
        <v>934</v>
      </c>
      <c r="F846" s="138" t="s">
        <v>934</v>
      </c>
      <c r="G846" s="138" t="s">
        <v>934</v>
      </c>
      <c r="H846" s="138" t="s">
        <v>934</v>
      </c>
      <c r="I846" s="129">
        <f>SUM(I847:I850)</f>
        <v>3179.8</v>
      </c>
      <c r="J846" s="129">
        <f t="shared" ref="J846:L846" si="261">SUM(J847:J850)</f>
        <v>2173</v>
      </c>
      <c r="K846" s="129">
        <f t="shared" si="261"/>
        <v>2104</v>
      </c>
      <c r="L846" s="139">
        <f t="shared" si="261"/>
        <v>106</v>
      </c>
      <c r="M846" s="138" t="s">
        <v>934</v>
      </c>
      <c r="N846" s="138" t="s">
        <v>934</v>
      </c>
      <c r="O846" s="136" t="s">
        <v>934</v>
      </c>
      <c r="P846" s="130">
        <v>10103503.050000001</v>
      </c>
      <c r="Q846" s="130">
        <f t="shared" ref="Q846:S846" si="262">SUM(Q847:Q850)</f>
        <v>0</v>
      </c>
      <c r="R846" s="130">
        <f t="shared" si="262"/>
        <v>0</v>
      </c>
      <c r="S846" s="130">
        <f t="shared" si="262"/>
        <v>10103503.050000001</v>
      </c>
      <c r="T846" s="130">
        <f t="shared" si="260"/>
        <v>3177.402053588276</v>
      </c>
      <c r="U846" s="130">
        <f>MAX(U847:U850)</f>
        <v>7306.2051714446307</v>
      </c>
    </row>
    <row r="847" spans="1:21" s="64" customFormat="1" ht="36" customHeight="1" x14ac:dyDescent="0.9">
      <c r="A847" s="64">
        <v>1</v>
      </c>
      <c r="B847" s="96">
        <f>SUBTOTAL(103,$A$561:A847)</f>
        <v>260</v>
      </c>
      <c r="C847" s="94" t="s">
        <v>79</v>
      </c>
      <c r="D847" s="138">
        <v>1962</v>
      </c>
      <c r="E847" s="138"/>
      <c r="F847" s="167" t="s">
        <v>273</v>
      </c>
      <c r="G847" s="138">
        <v>4</v>
      </c>
      <c r="H847" s="138">
        <v>2</v>
      </c>
      <c r="I847" s="129">
        <v>1697.1</v>
      </c>
      <c r="J847" s="129">
        <v>1254</v>
      </c>
      <c r="K847" s="129">
        <v>1254</v>
      </c>
      <c r="L847" s="139">
        <v>38</v>
      </c>
      <c r="M847" s="138" t="s">
        <v>271</v>
      </c>
      <c r="N847" s="138" t="s">
        <v>275</v>
      </c>
      <c r="O847" s="136" t="s">
        <v>282</v>
      </c>
      <c r="P847" s="130">
        <v>3083184.6</v>
      </c>
      <c r="Q847" s="130">
        <v>0</v>
      </c>
      <c r="R847" s="130">
        <v>0</v>
      </c>
      <c r="S847" s="130">
        <f t="shared" ref="S847:S850" si="263">P847-Q847-R847</f>
        <v>3083184.6</v>
      </c>
      <c r="T847" s="130">
        <f t="shared" si="260"/>
        <v>1816.7371398267635</v>
      </c>
      <c r="U847" s="130">
        <v>1816.7371398267635</v>
      </c>
    </row>
    <row r="848" spans="1:21" s="64" customFormat="1" ht="36" customHeight="1" x14ac:dyDescent="0.9">
      <c r="A848" s="64">
        <v>1</v>
      </c>
      <c r="B848" s="96">
        <f>SUBTOTAL(103,$A$561:A848)</f>
        <v>261</v>
      </c>
      <c r="C848" s="94" t="s">
        <v>80</v>
      </c>
      <c r="D848" s="138">
        <v>1962</v>
      </c>
      <c r="E848" s="138"/>
      <c r="F848" s="167" t="s">
        <v>273</v>
      </c>
      <c r="G848" s="138">
        <v>2</v>
      </c>
      <c r="H848" s="138">
        <v>2</v>
      </c>
      <c r="I848" s="129">
        <v>355.8</v>
      </c>
      <c r="J848" s="129">
        <v>212</v>
      </c>
      <c r="K848" s="129">
        <v>212</v>
      </c>
      <c r="L848" s="139">
        <v>21</v>
      </c>
      <c r="M848" s="138" t="s">
        <v>271</v>
      </c>
      <c r="N848" s="138" t="s">
        <v>272</v>
      </c>
      <c r="O848" s="136" t="s">
        <v>274</v>
      </c>
      <c r="P848" s="130">
        <v>2424688.3000000003</v>
      </c>
      <c r="Q848" s="130">
        <v>0</v>
      </c>
      <c r="R848" s="130">
        <v>0</v>
      </c>
      <c r="S848" s="130">
        <f t="shared" si="263"/>
        <v>2424688.3000000003</v>
      </c>
      <c r="T848" s="130">
        <f t="shared" si="260"/>
        <v>6814.7507026419344</v>
      </c>
      <c r="U848" s="130">
        <v>7306.2051714446307</v>
      </c>
    </row>
    <row r="849" spans="1:21" s="64" customFormat="1" ht="36" customHeight="1" x14ac:dyDescent="0.9">
      <c r="A849" s="64">
        <v>1</v>
      </c>
      <c r="B849" s="96">
        <f>SUBTOTAL(103,$A$561:A849)</f>
        <v>262</v>
      </c>
      <c r="C849" s="94" t="s">
        <v>81</v>
      </c>
      <c r="D849" s="138">
        <v>1964</v>
      </c>
      <c r="E849" s="138"/>
      <c r="F849" s="167" t="s">
        <v>273</v>
      </c>
      <c r="G849" s="138">
        <v>2</v>
      </c>
      <c r="H849" s="138">
        <v>2</v>
      </c>
      <c r="I849" s="129">
        <v>651.6</v>
      </c>
      <c r="J849" s="129">
        <v>412</v>
      </c>
      <c r="K849" s="129">
        <v>385</v>
      </c>
      <c r="L849" s="139">
        <v>42</v>
      </c>
      <c r="M849" s="138" t="s">
        <v>271</v>
      </c>
      <c r="N849" s="138" t="s">
        <v>272</v>
      </c>
      <c r="O849" s="136" t="s">
        <v>274</v>
      </c>
      <c r="P849" s="130">
        <v>2424688.3000000003</v>
      </c>
      <c r="Q849" s="130">
        <v>0</v>
      </c>
      <c r="R849" s="130">
        <v>0</v>
      </c>
      <c r="S849" s="130">
        <f t="shared" si="263"/>
        <v>2424688.3000000003</v>
      </c>
      <c r="T849" s="130">
        <f t="shared" si="260"/>
        <v>3721.1299877225297</v>
      </c>
      <c r="U849" s="130">
        <v>3989.4840392879064</v>
      </c>
    </row>
    <row r="850" spans="1:21" s="64" customFormat="1" ht="36" customHeight="1" x14ac:dyDescent="0.9">
      <c r="A850" s="64">
        <v>1</v>
      </c>
      <c r="B850" s="96">
        <f>SUBTOTAL(103,$A$561:A850)</f>
        <v>263</v>
      </c>
      <c r="C850" s="94" t="s">
        <v>78</v>
      </c>
      <c r="D850" s="138">
        <v>1929</v>
      </c>
      <c r="E850" s="138"/>
      <c r="F850" s="167" t="s">
        <v>273</v>
      </c>
      <c r="G850" s="138">
        <v>3</v>
      </c>
      <c r="H850" s="138">
        <v>1</v>
      </c>
      <c r="I850" s="129">
        <v>475.3</v>
      </c>
      <c r="J850" s="129">
        <v>295</v>
      </c>
      <c r="K850" s="129">
        <v>253</v>
      </c>
      <c r="L850" s="139">
        <v>5</v>
      </c>
      <c r="M850" s="138" t="s">
        <v>271</v>
      </c>
      <c r="N850" s="138" t="s">
        <v>272</v>
      </c>
      <c r="O850" s="136" t="s">
        <v>274</v>
      </c>
      <c r="P850" s="130">
        <v>2170941.85</v>
      </c>
      <c r="Q850" s="130">
        <v>0</v>
      </c>
      <c r="R850" s="130">
        <v>0</v>
      </c>
      <c r="S850" s="130">
        <f t="shared" si="263"/>
        <v>2170941.85</v>
      </c>
      <c r="T850" s="130">
        <f t="shared" si="260"/>
        <v>4567.5191458026511</v>
      </c>
      <c r="U850" s="130">
        <v>4896.9116347569952</v>
      </c>
    </row>
    <row r="851" spans="1:21" s="64" customFormat="1" ht="36" customHeight="1" x14ac:dyDescent="0.9">
      <c r="B851" s="94" t="s">
        <v>915</v>
      </c>
      <c r="C851" s="94"/>
      <c r="D851" s="138" t="s">
        <v>934</v>
      </c>
      <c r="E851" s="138" t="s">
        <v>934</v>
      </c>
      <c r="F851" s="138" t="s">
        <v>934</v>
      </c>
      <c r="G851" s="138" t="s">
        <v>934</v>
      </c>
      <c r="H851" s="138" t="s">
        <v>934</v>
      </c>
      <c r="I851" s="129">
        <f>SUM(I852:I853)</f>
        <v>530.5</v>
      </c>
      <c r="J851" s="129">
        <f t="shared" ref="J851:L851" si="264">SUM(J852:J853)</f>
        <v>481.3</v>
      </c>
      <c r="K851" s="129">
        <f t="shared" si="264"/>
        <v>481.3</v>
      </c>
      <c r="L851" s="139">
        <f t="shared" si="264"/>
        <v>25</v>
      </c>
      <c r="M851" s="138" t="s">
        <v>934</v>
      </c>
      <c r="N851" s="138" t="s">
        <v>934</v>
      </c>
      <c r="O851" s="136" t="s">
        <v>934</v>
      </c>
      <c r="P851" s="130">
        <v>2766932.97</v>
      </c>
      <c r="Q851" s="130">
        <f t="shared" ref="Q851:S851" si="265">Q852+Q853</f>
        <v>0</v>
      </c>
      <c r="R851" s="130">
        <f t="shared" si="265"/>
        <v>0</v>
      </c>
      <c r="S851" s="130">
        <f t="shared" si="265"/>
        <v>2766932.97</v>
      </c>
      <c r="T851" s="130">
        <f t="shared" si="260"/>
        <v>5215.7077662582469</v>
      </c>
      <c r="U851" s="130">
        <f>MAX(U852:U853)</f>
        <v>5799.8631875000001</v>
      </c>
    </row>
    <row r="852" spans="1:21" s="64" customFormat="1" ht="36" customHeight="1" x14ac:dyDescent="0.9">
      <c r="A852" s="64">
        <v>1</v>
      </c>
      <c r="B852" s="96">
        <f>SUBTOTAL(103,$A$561:A852)</f>
        <v>264</v>
      </c>
      <c r="C852" s="94" t="s">
        <v>82</v>
      </c>
      <c r="D852" s="138">
        <v>1931</v>
      </c>
      <c r="E852" s="138"/>
      <c r="F852" s="167" t="s">
        <v>273</v>
      </c>
      <c r="G852" s="138">
        <v>2</v>
      </c>
      <c r="H852" s="138">
        <v>1</v>
      </c>
      <c r="I852" s="129">
        <v>320</v>
      </c>
      <c r="J852" s="129">
        <v>297</v>
      </c>
      <c r="K852" s="129">
        <v>297</v>
      </c>
      <c r="L852" s="139">
        <v>16</v>
      </c>
      <c r="M852" s="138" t="s">
        <v>271</v>
      </c>
      <c r="N852" s="138" t="s">
        <v>272</v>
      </c>
      <c r="O852" s="136" t="s">
        <v>274</v>
      </c>
      <c r="P852" s="130">
        <v>1818947.37</v>
      </c>
      <c r="Q852" s="130">
        <v>0</v>
      </c>
      <c r="R852" s="130">
        <v>0</v>
      </c>
      <c r="S852" s="130">
        <f t="shared" ref="S852:S853" si="266">P852-Q852-R852</f>
        <v>1818947.37</v>
      </c>
      <c r="T852" s="130">
        <f t="shared" si="260"/>
        <v>5684.2105312500007</v>
      </c>
      <c r="U852" s="130">
        <v>5799.8631875000001</v>
      </c>
    </row>
    <row r="853" spans="1:21" s="64" customFormat="1" ht="36" customHeight="1" x14ac:dyDescent="0.9">
      <c r="A853" s="64">
        <v>1</v>
      </c>
      <c r="B853" s="96">
        <f>SUBTOTAL(103,$A$561:A853)</f>
        <v>265</v>
      </c>
      <c r="C853" s="94" t="s">
        <v>83</v>
      </c>
      <c r="D853" s="138">
        <v>1965</v>
      </c>
      <c r="E853" s="138"/>
      <c r="F853" s="167" t="s">
        <v>273</v>
      </c>
      <c r="G853" s="138">
        <v>2</v>
      </c>
      <c r="H853" s="138">
        <v>1</v>
      </c>
      <c r="I853" s="129">
        <v>210.5</v>
      </c>
      <c r="J853" s="129">
        <v>184.3</v>
      </c>
      <c r="K853" s="129">
        <v>184.3</v>
      </c>
      <c r="L853" s="139">
        <v>9</v>
      </c>
      <c r="M853" s="138" t="s">
        <v>271</v>
      </c>
      <c r="N853" s="138" t="s">
        <v>275</v>
      </c>
      <c r="O853" s="136" t="s">
        <v>285</v>
      </c>
      <c r="P853" s="130">
        <v>947985.6</v>
      </c>
      <c r="Q853" s="130">
        <v>0</v>
      </c>
      <c r="R853" s="130">
        <v>0</v>
      </c>
      <c r="S853" s="130">
        <f t="shared" si="266"/>
        <v>947985.6</v>
      </c>
      <c r="T853" s="130">
        <f t="shared" si="260"/>
        <v>4503.494536817102</v>
      </c>
      <c r="U853" s="130">
        <v>4595.1239904988124</v>
      </c>
    </row>
    <row r="854" spans="1:21" s="64" customFormat="1" ht="36" customHeight="1" x14ac:dyDescent="0.9">
      <c r="B854" s="94" t="s">
        <v>916</v>
      </c>
      <c r="C854" s="94"/>
      <c r="D854" s="138" t="s">
        <v>934</v>
      </c>
      <c r="E854" s="138" t="s">
        <v>934</v>
      </c>
      <c r="F854" s="138" t="s">
        <v>934</v>
      </c>
      <c r="G854" s="138" t="s">
        <v>934</v>
      </c>
      <c r="H854" s="138" t="s">
        <v>934</v>
      </c>
      <c r="I854" s="129">
        <f>I855</f>
        <v>654.5</v>
      </c>
      <c r="J854" s="129">
        <f t="shared" ref="J854:L854" si="267">J855</f>
        <v>614.5</v>
      </c>
      <c r="K854" s="129">
        <f t="shared" si="267"/>
        <v>614.5</v>
      </c>
      <c r="L854" s="139">
        <f t="shared" si="267"/>
        <v>19</v>
      </c>
      <c r="M854" s="138" t="s">
        <v>934</v>
      </c>
      <c r="N854" s="138" t="s">
        <v>934</v>
      </c>
      <c r="O854" s="136" t="s">
        <v>934</v>
      </c>
      <c r="P854" s="130">
        <v>2568179.12</v>
      </c>
      <c r="Q854" s="130">
        <f t="shared" ref="Q854:S854" si="268">Q855</f>
        <v>0</v>
      </c>
      <c r="R854" s="130">
        <f t="shared" si="268"/>
        <v>0</v>
      </c>
      <c r="S854" s="130">
        <f t="shared" si="268"/>
        <v>2568179.12</v>
      </c>
      <c r="T854" s="130">
        <f t="shared" si="260"/>
        <v>3923.8794805194807</v>
      </c>
      <c r="U854" s="130">
        <f>U855</f>
        <v>3923.8794805194807</v>
      </c>
    </row>
    <row r="855" spans="1:21" s="64" customFormat="1" ht="36" customHeight="1" x14ac:dyDescent="0.9">
      <c r="A855" s="64">
        <v>1</v>
      </c>
      <c r="B855" s="96">
        <f>SUBTOTAL(103,$A$561:A855)</f>
        <v>266</v>
      </c>
      <c r="C855" s="94" t="s">
        <v>84</v>
      </c>
      <c r="D855" s="138">
        <v>1964</v>
      </c>
      <c r="E855" s="138"/>
      <c r="F855" s="167" t="s">
        <v>273</v>
      </c>
      <c r="G855" s="138">
        <v>2</v>
      </c>
      <c r="H855" s="138">
        <v>2</v>
      </c>
      <c r="I855" s="129">
        <v>654.5</v>
      </c>
      <c r="J855" s="129">
        <v>614.5</v>
      </c>
      <c r="K855" s="129">
        <v>614.5</v>
      </c>
      <c r="L855" s="139">
        <v>19</v>
      </c>
      <c r="M855" s="138" t="s">
        <v>271</v>
      </c>
      <c r="N855" s="138" t="s">
        <v>272</v>
      </c>
      <c r="O855" s="136" t="s">
        <v>274</v>
      </c>
      <c r="P855" s="130">
        <v>2568179.12</v>
      </c>
      <c r="Q855" s="130">
        <v>0</v>
      </c>
      <c r="R855" s="130">
        <v>0</v>
      </c>
      <c r="S855" s="130">
        <f>P855-Q855-R855</f>
        <v>2568179.12</v>
      </c>
      <c r="T855" s="130">
        <f t="shared" si="260"/>
        <v>3923.8794805194807</v>
      </c>
      <c r="U855" s="130">
        <v>3923.8794805194807</v>
      </c>
    </row>
    <row r="856" spans="1:21" s="64" customFormat="1" ht="36" customHeight="1" x14ac:dyDescent="0.9">
      <c r="B856" s="94" t="s">
        <v>883</v>
      </c>
      <c r="C856" s="126"/>
      <c r="D856" s="138" t="s">
        <v>934</v>
      </c>
      <c r="E856" s="138" t="s">
        <v>934</v>
      </c>
      <c r="F856" s="138" t="s">
        <v>934</v>
      </c>
      <c r="G856" s="138" t="s">
        <v>934</v>
      </c>
      <c r="H856" s="138" t="s">
        <v>934</v>
      </c>
      <c r="I856" s="129">
        <f>I857</f>
        <v>1244.4000000000001</v>
      </c>
      <c r="J856" s="129">
        <f t="shared" ref="J856:L856" si="269">J857</f>
        <v>727.8</v>
      </c>
      <c r="K856" s="129">
        <f t="shared" si="269"/>
        <v>584.79999999999995</v>
      </c>
      <c r="L856" s="139">
        <f t="shared" si="269"/>
        <v>34</v>
      </c>
      <c r="M856" s="138" t="s">
        <v>934</v>
      </c>
      <c r="N856" s="138" t="s">
        <v>934</v>
      </c>
      <c r="O856" s="136" t="s">
        <v>934</v>
      </c>
      <c r="P856" s="130">
        <v>2981647.8</v>
      </c>
      <c r="Q856" s="130">
        <f t="shared" ref="Q856:S856" si="270">Q857</f>
        <v>0</v>
      </c>
      <c r="R856" s="130">
        <f t="shared" si="270"/>
        <v>0</v>
      </c>
      <c r="S856" s="130">
        <f t="shared" si="270"/>
        <v>2981647.8</v>
      </c>
      <c r="T856" s="130">
        <f t="shared" si="260"/>
        <v>2396.0525554484084</v>
      </c>
      <c r="U856" s="130">
        <f>U857</f>
        <v>2773.9936194149791</v>
      </c>
    </row>
    <row r="857" spans="1:21" s="64" customFormat="1" ht="36" customHeight="1" x14ac:dyDescent="0.9">
      <c r="A857" s="64">
        <v>1</v>
      </c>
      <c r="B857" s="96">
        <f>SUBTOTAL(103,$A$561:A857)</f>
        <v>267</v>
      </c>
      <c r="C857" s="94" t="s">
        <v>107</v>
      </c>
      <c r="D857" s="138">
        <v>1975</v>
      </c>
      <c r="E857" s="138"/>
      <c r="F857" s="167" t="s">
        <v>273</v>
      </c>
      <c r="G857" s="138">
        <v>2</v>
      </c>
      <c r="H857" s="138">
        <v>2</v>
      </c>
      <c r="I857" s="129">
        <v>1244.4000000000001</v>
      </c>
      <c r="J857" s="129">
        <v>727.8</v>
      </c>
      <c r="K857" s="129">
        <v>584.79999999999995</v>
      </c>
      <c r="L857" s="139">
        <v>34</v>
      </c>
      <c r="M857" s="138" t="s">
        <v>271</v>
      </c>
      <c r="N857" s="138" t="s">
        <v>272</v>
      </c>
      <c r="O857" s="136" t="s">
        <v>274</v>
      </c>
      <c r="P857" s="130">
        <v>2981647.8</v>
      </c>
      <c r="Q857" s="130">
        <v>0</v>
      </c>
      <c r="R857" s="130">
        <v>0</v>
      </c>
      <c r="S857" s="130">
        <f>P857-Q857-R857</f>
        <v>2981647.8</v>
      </c>
      <c r="T857" s="130">
        <f t="shared" si="260"/>
        <v>2396.0525554484084</v>
      </c>
      <c r="U857" s="130">
        <v>2773.9936194149791</v>
      </c>
    </row>
    <row r="858" spans="1:21" s="64" customFormat="1" ht="36" customHeight="1" x14ac:dyDescent="0.9">
      <c r="B858" s="94" t="s">
        <v>917</v>
      </c>
      <c r="C858" s="94"/>
      <c r="D858" s="138" t="s">
        <v>934</v>
      </c>
      <c r="E858" s="138" t="s">
        <v>934</v>
      </c>
      <c r="F858" s="138" t="s">
        <v>934</v>
      </c>
      <c r="G858" s="138" t="s">
        <v>934</v>
      </c>
      <c r="H858" s="138" t="s">
        <v>934</v>
      </c>
      <c r="I858" s="129">
        <f>I859</f>
        <v>948.2</v>
      </c>
      <c r="J858" s="129">
        <f t="shared" ref="J858:L858" si="271">J859</f>
        <v>849.8</v>
      </c>
      <c r="K858" s="129">
        <f t="shared" si="271"/>
        <v>803.9</v>
      </c>
      <c r="L858" s="139">
        <f t="shared" si="271"/>
        <v>43</v>
      </c>
      <c r="M858" s="138" t="s">
        <v>934</v>
      </c>
      <c r="N858" s="138" t="s">
        <v>934</v>
      </c>
      <c r="O858" s="136" t="s">
        <v>934</v>
      </c>
      <c r="P858" s="130">
        <v>4290230.8800000008</v>
      </c>
      <c r="Q858" s="130">
        <f t="shared" ref="Q858:S858" si="272">Q859</f>
        <v>0</v>
      </c>
      <c r="R858" s="130">
        <f t="shared" si="272"/>
        <v>0</v>
      </c>
      <c r="S858" s="130">
        <f t="shared" si="272"/>
        <v>4290230.8800000008</v>
      </c>
      <c r="T858" s="130">
        <f t="shared" si="260"/>
        <v>4524.6054418898975</v>
      </c>
      <c r="U858" s="130">
        <f>U859</f>
        <v>5238.2935414469512</v>
      </c>
    </row>
    <row r="859" spans="1:21" s="64" customFormat="1" ht="36" customHeight="1" x14ac:dyDescent="0.9">
      <c r="A859" s="64">
        <v>1</v>
      </c>
      <c r="B859" s="96">
        <f>SUBTOTAL(103,$A$561:A859)</f>
        <v>268</v>
      </c>
      <c r="C859" s="94" t="s">
        <v>113</v>
      </c>
      <c r="D859" s="138">
        <v>1978</v>
      </c>
      <c r="E859" s="138"/>
      <c r="F859" s="167" t="s">
        <v>273</v>
      </c>
      <c r="G859" s="138">
        <v>2</v>
      </c>
      <c r="H859" s="138">
        <v>3</v>
      </c>
      <c r="I859" s="129">
        <v>948.2</v>
      </c>
      <c r="J859" s="129">
        <v>849.8</v>
      </c>
      <c r="K859" s="129">
        <v>803.9</v>
      </c>
      <c r="L859" s="139">
        <v>43</v>
      </c>
      <c r="M859" s="138" t="s">
        <v>271</v>
      </c>
      <c r="N859" s="138" t="s">
        <v>272</v>
      </c>
      <c r="O859" s="136" t="s">
        <v>274</v>
      </c>
      <c r="P859" s="130">
        <v>4290230.8800000008</v>
      </c>
      <c r="Q859" s="130">
        <v>0</v>
      </c>
      <c r="R859" s="130">
        <v>0</v>
      </c>
      <c r="S859" s="130">
        <f>P859-Q859-R859</f>
        <v>4290230.8800000008</v>
      </c>
      <c r="T859" s="130">
        <f t="shared" si="260"/>
        <v>4524.6054418898975</v>
      </c>
      <c r="U859" s="130">
        <v>5238.2935414469512</v>
      </c>
    </row>
    <row r="860" spans="1:21" s="64" customFormat="1" ht="36" customHeight="1" x14ac:dyDescent="0.9">
      <c r="B860" s="94" t="s">
        <v>918</v>
      </c>
      <c r="C860" s="94"/>
      <c r="D860" s="138" t="s">
        <v>934</v>
      </c>
      <c r="E860" s="138" t="s">
        <v>934</v>
      </c>
      <c r="F860" s="138" t="s">
        <v>934</v>
      </c>
      <c r="G860" s="138" t="s">
        <v>934</v>
      </c>
      <c r="H860" s="138" t="s">
        <v>934</v>
      </c>
      <c r="I860" s="129">
        <f>I861</f>
        <v>779.2</v>
      </c>
      <c r="J860" s="129">
        <f t="shared" ref="J860:L860" si="273">J861</f>
        <v>720.2</v>
      </c>
      <c r="K860" s="129">
        <f t="shared" si="273"/>
        <v>720.2</v>
      </c>
      <c r="L860" s="139">
        <f t="shared" si="273"/>
        <v>33</v>
      </c>
      <c r="M860" s="138" t="s">
        <v>934</v>
      </c>
      <c r="N860" s="138" t="s">
        <v>934</v>
      </c>
      <c r="O860" s="136" t="s">
        <v>934</v>
      </c>
      <c r="P860" s="130">
        <v>2903320.8000000003</v>
      </c>
      <c r="Q860" s="130">
        <f t="shared" ref="Q860:S860" si="274">Q861</f>
        <v>0</v>
      </c>
      <c r="R860" s="130">
        <f t="shared" si="274"/>
        <v>0</v>
      </c>
      <c r="S860" s="130">
        <f t="shared" si="274"/>
        <v>2903320.8000000003</v>
      </c>
      <c r="T860" s="130">
        <f t="shared" si="260"/>
        <v>3726.0277207392201</v>
      </c>
      <c r="U860" s="130">
        <f>U861</f>
        <v>4313.7522587268995</v>
      </c>
    </row>
    <row r="861" spans="1:21" s="64" customFormat="1" ht="36" customHeight="1" x14ac:dyDescent="0.9">
      <c r="A861" s="64">
        <v>1</v>
      </c>
      <c r="B861" s="96">
        <f>SUBTOTAL(103,$A$561:A861)</f>
        <v>269</v>
      </c>
      <c r="C861" s="94" t="s">
        <v>112</v>
      </c>
      <c r="D861" s="138">
        <v>1974</v>
      </c>
      <c r="E861" s="138"/>
      <c r="F861" s="167" t="s">
        <v>273</v>
      </c>
      <c r="G861" s="138">
        <v>2</v>
      </c>
      <c r="H861" s="138">
        <v>2</v>
      </c>
      <c r="I861" s="129">
        <v>779.2</v>
      </c>
      <c r="J861" s="129">
        <v>720.2</v>
      </c>
      <c r="K861" s="129">
        <v>720.2</v>
      </c>
      <c r="L861" s="139">
        <v>33</v>
      </c>
      <c r="M861" s="138" t="s">
        <v>271</v>
      </c>
      <c r="N861" s="138" t="s">
        <v>272</v>
      </c>
      <c r="O861" s="136" t="s">
        <v>274</v>
      </c>
      <c r="P861" s="130">
        <v>2903320.8000000003</v>
      </c>
      <c r="Q861" s="130">
        <v>0</v>
      </c>
      <c r="R861" s="130">
        <v>0</v>
      </c>
      <c r="S861" s="130">
        <f>P861-Q861-R861</f>
        <v>2903320.8000000003</v>
      </c>
      <c r="T861" s="130">
        <f t="shared" si="260"/>
        <v>3726.0277207392201</v>
      </c>
      <c r="U861" s="130">
        <v>4313.7522587268995</v>
      </c>
    </row>
    <row r="862" spans="1:21" s="64" customFormat="1" ht="36" customHeight="1" x14ac:dyDescent="0.9">
      <c r="B862" s="94" t="s">
        <v>884</v>
      </c>
      <c r="C862" s="126"/>
      <c r="D862" s="138" t="s">
        <v>934</v>
      </c>
      <c r="E862" s="138" t="s">
        <v>934</v>
      </c>
      <c r="F862" s="138" t="s">
        <v>934</v>
      </c>
      <c r="G862" s="138" t="s">
        <v>934</v>
      </c>
      <c r="H862" s="138" t="s">
        <v>934</v>
      </c>
      <c r="I862" s="129">
        <f>I863</f>
        <v>1015.6</v>
      </c>
      <c r="J862" s="129">
        <f t="shared" ref="J862:L862" si="275">J863</f>
        <v>926.7</v>
      </c>
      <c r="K862" s="129">
        <f t="shared" si="275"/>
        <v>497.5</v>
      </c>
      <c r="L862" s="139">
        <f t="shared" si="275"/>
        <v>47</v>
      </c>
      <c r="M862" s="138" t="s">
        <v>934</v>
      </c>
      <c r="N862" s="138" t="s">
        <v>934</v>
      </c>
      <c r="O862" s="136" t="s">
        <v>934</v>
      </c>
      <c r="P862" s="130">
        <v>3826397.3000000003</v>
      </c>
      <c r="Q862" s="130">
        <f t="shared" ref="Q862:S862" si="276">Q863</f>
        <v>0</v>
      </c>
      <c r="R862" s="130">
        <f t="shared" si="276"/>
        <v>2523423.19</v>
      </c>
      <c r="S862" s="130">
        <f t="shared" si="276"/>
        <v>1302974.1100000003</v>
      </c>
      <c r="T862" s="130">
        <f t="shared" si="260"/>
        <v>3767.6223907050021</v>
      </c>
      <c r="U862" s="130">
        <f>U863</f>
        <v>4728.1497420244186</v>
      </c>
    </row>
    <row r="863" spans="1:21" s="64" customFormat="1" ht="36" customHeight="1" x14ac:dyDescent="0.9">
      <c r="A863" s="64">
        <v>1</v>
      </c>
      <c r="B863" s="96">
        <f>SUBTOTAL(103,$A$561:A863)</f>
        <v>270</v>
      </c>
      <c r="C863" s="94" t="s">
        <v>57</v>
      </c>
      <c r="D863" s="138">
        <v>1972</v>
      </c>
      <c r="E863" s="138"/>
      <c r="F863" s="167" t="s">
        <v>273</v>
      </c>
      <c r="G863" s="138">
        <v>2</v>
      </c>
      <c r="H863" s="138">
        <v>3</v>
      </c>
      <c r="I863" s="129">
        <v>1015.6</v>
      </c>
      <c r="J863" s="129">
        <v>926.7</v>
      </c>
      <c r="K863" s="129">
        <v>497.5</v>
      </c>
      <c r="L863" s="139">
        <v>47</v>
      </c>
      <c r="M863" s="138" t="s">
        <v>271</v>
      </c>
      <c r="N863" s="138" t="s">
        <v>272</v>
      </c>
      <c r="O863" s="136" t="s">
        <v>274</v>
      </c>
      <c r="P863" s="130">
        <v>3826397.3000000003</v>
      </c>
      <c r="Q863" s="130">
        <v>0</v>
      </c>
      <c r="R863" s="130">
        <v>2523423.19</v>
      </c>
      <c r="S863" s="130">
        <f>P863-Q863-R863</f>
        <v>1302974.1100000003</v>
      </c>
      <c r="T863" s="130">
        <f t="shared" si="260"/>
        <v>3767.6223907050021</v>
      </c>
      <c r="U863" s="130">
        <v>4728.1497420244186</v>
      </c>
    </row>
    <row r="864" spans="1:21" s="64" customFormat="1" ht="36" customHeight="1" x14ac:dyDescent="0.9">
      <c r="B864" s="94" t="s">
        <v>885</v>
      </c>
      <c r="C864" s="94"/>
      <c r="D864" s="138" t="s">
        <v>934</v>
      </c>
      <c r="E864" s="138" t="s">
        <v>934</v>
      </c>
      <c r="F864" s="138" t="s">
        <v>934</v>
      </c>
      <c r="G864" s="138" t="s">
        <v>934</v>
      </c>
      <c r="H864" s="138" t="s">
        <v>934</v>
      </c>
      <c r="I864" s="129">
        <f>I865</f>
        <v>5979.1</v>
      </c>
      <c r="J864" s="129">
        <f t="shared" ref="J864:L864" si="277">J865</f>
        <v>5979.1</v>
      </c>
      <c r="K864" s="129">
        <f t="shared" si="277"/>
        <v>4563.9399999999996</v>
      </c>
      <c r="L864" s="139">
        <f t="shared" si="277"/>
        <v>217</v>
      </c>
      <c r="M864" s="138" t="s">
        <v>934</v>
      </c>
      <c r="N864" s="138" t="s">
        <v>934</v>
      </c>
      <c r="O864" s="136" t="s">
        <v>934</v>
      </c>
      <c r="P864" s="130">
        <v>5858309.4800000004</v>
      </c>
      <c r="Q864" s="130">
        <f t="shared" ref="Q864:S864" si="278">Q865</f>
        <v>0</v>
      </c>
      <c r="R864" s="130">
        <f t="shared" si="278"/>
        <v>0</v>
      </c>
      <c r="S864" s="130">
        <f t="shared" si="278"/>
        <v>5858309.4800000004</v>
      </c>
      <c r="T864" s="130">
        <f t="shared" si="260"/>
        <v>979.79787593450521</v>
      </c>
      <c r="U864" s="130">
        <f>U865</f>
        <v>1593.4914886855881</v>
      </c>
    </row>
    <row r="865" spans="1:21" s="64" customFormat="1" ht="36" customHeight="1" x14ac:dyDescent="0.9">
      <c r="A865" s="64">
        <v>1</v>
      </c>
      <c r="B865" s="96">
        <f>SUBTOTAL(103,$A$561:A865)</f>
        <v>271</v>
      </c>
      <c r="C865" s="94" t="s">
        <v>41</v>
      </c>
      <c r="D865" s="138">
        <v>1974</v>
      </c>
      <c r="E865" s="138"/>
      <c r="F865" s="167" t="s">
        <v>273</v>
      </c>
      <c r="G865" s="138">
        <v>5</v>
      </c>
      <c r="H865" s="138">
        <v>6</v>
      </c>
      <c r="I865" s="129">
        <v>5979.1</v>
      </c>
      <c r="J865" s="129">
        <v>5979.1</v>
      </c>
      <c r="K865" s="129">
        <v>4563.9399999999996</v>
      </c>
      <c r="L865" s="139">
        <v>217</v>
      </c>
      <c r="M865" s="138" t="s">
        <v>271</v>
      </c>
      <c r="N865" s="138" t="s">
        <v>275</v>
      </c>
      <c r="O865" s="136" t="s">
        <v>276</v>
      </c>
      <c r="P865" s="130">
        <v>5858309.4800000004</v>
      </c>
      <c r="Q865" s="130">
        <v>0</v>
      </c>
      <c r="R865" s="130">
        <v>0</v>
      </c>
      <c r="S865" s="130">
        <f>P865-Q865-R865</f>
        <v>5858309.4800000004</v>
      </c>
      <c r="T865" s="130">
        <f t="shared" si="260"/>
        <v>979.79787593450521</v>
      </c>
      <c r="U865" s="130">
        <v>1593.4914886855881</v>
      </c>
    </row>
    <row r="866" spans="1:21" s="64" customFormat="1" ht="36" customHeight="1" x14ac:dyDescent="0.9">
      <c r="B866" s="94" t="s">
        <v>919</v>
      </c>
      <c r="C866" s="94"/>
      <c r="D866" s="138" t="s">
        <v>934</v>
      </c>
      <c r="E866" s="138" t="s">
        <v>934</v>
      </c>
      <c r="F866" s="138" t="s">
        <v>934</v>
      </c>
      <c r="G866" s="138" t="s">
        <v>934</v>
      </c>
      <c r="H866" s="138" t="s">
        <v>934</v>
      </c>
      <c r="I866" s="129">
        <f>I867</f>
        <v>822.2</v>
      </c>
      <c r="J866" s="129">
        <f t="shared" ref="J866:L866" si="279">J867</f>
        <v>760.8</v>
      </c>
      <c r="K866" s="129">
        <f t="shared" si="279"/>
        <v>760.8</v>
      </c>
      <c r="L866" s="139">
        <f t="shared" si="279"/>
        <v>34</v>
      </c>
      <c r="M866" s="138" t="s">
        <v>934</v>
      </c>
      <c r="N866" s="138" t="s">
        <v>934</v>
      </c>
      <c r="O866" s="136" t="s">
        <v>934</v>
      </c>
      <c r="P866" s="130">
        <v>3274450.4</v>
      </c>
      <c r="Q866" s="130">
        <f t="shared" ref="Q866:S866" si="280">Q867</f>
        <v>0</v>
      </c>
      <c r="R866" s="130">
        <f t="shared" si="280"/>
        <v>0</v>
      </c>
      <c r="S866" s="130">
        <f t="shared" si="280"/>
        <v>3274450.4</v>
      </c>
      <c r="T866" s="130">
        <f t="shared" si="260"/>
        <v>3982.5473120895158</v>
      </c>
      <c r="U866" s="130">
        <f>U867</f>
        <v>4483.7284213086841</v>
      </c>
    </row>
    <row r="867" spans="1:21" s="64" customFormat="1" ht="36" customHeight="1" x14ac:dyDescent="0.9">
      <c r="A867" s="64">
        <v>1</v>
      </c>
      <c r="B867" s="96">
        <f>SUBTOTAL(103,$A$561:A867)</f>
        <v>272</v>
      </c>
      <c r="C867" s="94" t="s">
        <v>55</v>
      </c>
      <c r="D867" s="138">
        <v>1968</v>
      </c>
      <c r="E867" s="138"/>
      <c r="F867" s="167" t="s">
        <v>273</v>
      </c>
      <c r="G867" s="138">
        <v>2</v>
      </c>
      <c r="H867" s="138">
        <v>2</v>
      </c>
      <c r="I867" s="129">
        <v>822.2</v>
      </c>
      <c r="J867" s="129">
        <v>760.8</v>
      </c>
      <c r="K867" s="129">
        <v>760.8</v>
      </c>
      <c r="L867" s="139">
        <v>34</v>
      </c>
      <c r="M867" s="138" t="s">
        <v>271</v>
      </c>
      <c r="N867" s="138" t="s">
        <v>275</v>
      </c>
      <c r="O867" s="136" t="s">
        <v>280</v>
      </c>
      <c r="P867" s="130">
        <v>3274450.4</v>
      </c>
      <c r="Q867" s="130">
        <v>0</v>
      </c>
      <c r="R867" s="130">
        <v>0</v>
      </c>
      <c r="S867" s="130">
        <f>P867-Q867-R867</f>
        <v>3274450.4</v>
      </c>
      <c r="T867" s="130">
        <f t="shared" si="260"/>
        <v>3982.5473120895158</v>
      </c>
      <c r="U867" s="130">
        <v>4483.7284213086841</v>
      </c>
    </row>
    <row r="868" spans="1:21" s="64" customFormat="1" ht="36" customHeight="1" x14ac:dyDescent="0.9">
      <c r="B868" s="94" t="s">
        <v>886</v>
      </c>
      <c r="C868" s="94"/>
      <c r="D868" s="138" t="s">
        <v>934</v>
      </c>
      <c r="E868" s="138" t="s">
        <v>934</v>
      </c>
      <c r="F868" s="138" t="s">
        <v>934</v>
      </c>
      <c r="G868" s="138" t="s">
        <v>934</v>
      </c>
      <c r="H868" s="138" t="s">
        <v>934</v>
      </c>
      <c r="I868" s="129">
        <f>I869+I870+I871</f>
        <v>5924.49</v>
      </c>
      <c r="J868" s="129">
        <f t="shared" ref="J868:L868" si="281">J869+J870+J871</f>
        <v>4359.9000000000005</v>
      </c>
      <c r="K868" s="129">
        <f t="shared" si="281"/>
        <v>4223.91</v>
      </c>
      <c r="L868" s="139">
        <f t="shared" si="281"/>
        <v>259</v>
      </c>
      <c r="M868" s="138" t="s">
        <v>934</v>
      </c>
      <c r="N868" s="138" t="s">
        <v>934</v>
      </c>
      <c r="O868" s="136" t="s">
        <v>934</v>
      </c>
      <c r="P868" s="130">
        <v>12199052.439999999</v>
      </c>
      <c r="Q868" s="130">
        <f t="shared" ref="Q868:S868" si="282">SUM(Q869:Q871)</f>
        <v>0</v>
      </c>
      <c r="R868" s="130">
        <f t="shared" si="282"/>
        <v>0</v>
      </c>
      <c r="S868" s="130">
        <f t="shared" si="282"/>
        <v>12199052.439999999</v>
      </c>
      <c r="T868" s="130">
        <f t="shared" si="260"/>
        <v>2059.0890422635534</v>
      </c>
      <c r="U868" s="130">
        <f>MAX(U869:U871)</f>
        <v>6047.9915996649916</v>
      </c>
    </row>
    <row r="869" spans="1:21" s="64" customFormat="1" ht="36" customHeight="1" x14ac:dyDescent="0.9">
      <c r="A869" s="64">
        <v>1</v>
      </c>
      <c r="B869" s="96">
        <f>SUBTOTAL(103,$A$561:A869)</f>
        <v>273</v>
      </c>
      <c r="C869" s="94" t="s">
        <v>56</v>
      </c>
      <c r="D869" s="138">
        <v>1972</v>
      </c>
      <c r="E869" s="138"/>
      <c r="F869" s="167" t="s">
        <v>273</v>
      </c>
      <c r="G869" s="138">
        <v>5</v>
      </c>
      <c r="H869" s="138">
        <v>8</v>
      </c>
      <c r="I869" s="129">
        <v>4571.29</v>
      </c>
      <c r="J869" s="129">
        <v>3066.4</v>
      </c>
      <c r="K869" s="129">
        <v>2975.61</v>
      </c>
      <c r="L869" s="139">
        <v>203</v>
      </c>
      <c r="M869" s="138" t="s">
        <v>271</v>
      </c>
      <c r="N869" s="138" t="s">
        <v>275</v>
      </c>
      <c r="O869" s="136" t="s">
        <v>277</v>
      </c>
      <c r="P869" s="130">
        <v>4719977.0600000005</v>
      </c>
      <c r="Q869" s="130">
        <v>0</v>
      </c>
      <c r="R869" s="130">
        <v>0</v>
      </c>
      <c r="S869" s="130">
        <f t="shared" ref="S869:S870" si="283">P869-Q869-R869</f>
        <v>4719977.0600000005</v>
      </c>
      <c r="T869" s="130">
        <f t="shared" si="260"/>
        <v>1032.5262803278727</v>
      </c>
      <c r="U869" s="130">
        <v>2928.86</v>
      </c>
    </row>
    <row r="870" spans="1:21" s="64" customFormat="1" ht="36" customHeight="1" x14ac:dyDescent="0.9">
      <c r="A870" s="64">
        <v>1</v>
      </c>
      <c r="B870" s="96">
        <f>SUBTOTAL(103,$A$561:A870)</f>
        <v>274</v>
      </c>
      <c r="C870" s="94" t="s">
        <v>46</v>
      </c>
      <c r="D870" s="138">
        <v>1972</v>
      </c>
      <c r="E870" s="138"/>
      <c r="F870" s="167" t="s">
        <v>273</v>
      </c>
      <c r="G870" s="138">
        <v>2</v>
      </c>
      <c r="H870" s="138">
        <v>2</v>
      </c>
      <c r="I870" s="129">
        <v>716.4</v>
      </c>
      <c r="J870" s="129">
        <v>656.7</v>
      </c>
      <c r="K870" s="129">
        <v>656.7</v>
      </c>
      <c r="L870" s="139">
        <v>29</v>
      </c>
      <c r="M870" s="138" t="s">
        <v>271</v>
      </c>
      <c r="N870" s="138" t="s">
        <v>275</v>
      </c>
      <c r="O870" s="136" t="s">
        <v>277</v>
      </c>
      <c r="P870" s="130">
        <v>3947511.93</v>
      </c>
      <c r="Q870" s="130">
        <v>0</v>
      </c>
      <c r="R870" s="130">
        <v>0</v>
      </c>
      <c r="S870" s="130">
        <f t="shared" si="283"/>
        <v>3947511.93</v>
      </c>
      <c r="T870" s="130">
        <f t="shared" si="260"/>
        <v>5510.20649078727</v>
      </c>
      <c r="U870" s="130">
        <v>6047.9915996649916</v>
      </c>
    </row>
    <row r="871" spans="1:21" s="64" customFormat="1" ht="36" customHeight="1" x14ac:dyDescent="0.9">
      <c r="A871" s="64">
        <v>1</v>
      </c>
      <c r="B871" s="96">
        <f>SUBTOTAL(103,$A$561:A871)</f>
        <v>275</v>
      </c>
      <c r="C871" s="94" t="s">
        <v>1698</v>
      </c>
      <c r="D871" s="138">
        <v>1963</v>
      </c>
      <c r="E871" s="138"/>
      <c r="F871" s="167" t="s">
        <v>273</v>
      </c>
      <c r="G871" s="138">
        <v>2</v>
      </c>
      <c r="H871" s="138">
        <v>2</v>
      </c>
      <c r="I871" s="130">
        <v>636.79999999999995</v>
      </c>
      <c r="J871" s="130">
        <v>636.79999999999995</v>
      </c>
      <c r="K871" s="130">
        <f>636.8-45.2</f>
        <v>591.59999999999991</v>
      </c>
      <c r="L871" s="139">
        <v>27</v>
      </c>
      <c r="M871" s="138" t="s">
        <v>271</v>
      </c>
      <c r="N871" s="138" t="s">
        <v>272</v>
      </c>
      <c r="O871" s="136" t="s">
        <v>274</v>
      </c>
      <c r="P871" s="130">
        <v>3531563.4499999997</v>
      </c>
      <c r="Q871" s="130">
        <v>0</v>
      </c>
      <c r="R871" s="130">
        <v>0</v>
      </c>
      <c r="S871" s="130">
        <f>P871-Q871-R871</f>
        <v>3531563.4499999997</v>
      </c>
      <c r="T871" s="130">
        <f>P871/I871</f>
        <v>5545.796875</v>
      </c>
      <c r="U871" s="130">
        <f>T871</f>
        <v>5545.796875</v>
      </c>
    </row>
    <row r="872" spans="1:21" s="64" customFormat="1" ht="36" customHeight="1" x14ac:dyDescent="0.9">
      <c r="B872" s="94" t="s">
        <v>887</v>
      </c>
      <c r="C872" s="94"/>
      <c r="D872" s="138" t="s">
        <v>934</v>
      </c>
      <c r="E872" s="138" t="s">
        <v>934</v>
      </c>
      <c r="F872" s="138" t="s">
        <v>934</v>
      </c>
      <c r="G872" s="138" t="s">
        <v>934</v>
      </c>
      <c r="H872" s="138" t="s">
        <v>934</v>
      </c>
      <c r="I872" s="129">
        <f>I873</f>
        <v>5889.36</v>
      </c>
      <c r="J872" s="129">
        <f t="shared" ref="J872:L872" si="284">J873</f>
        <v>4270.6000000000004</v>
      </c>
      <c r="K872" s="129">
        <f t="shared" si="284"/>
        <v>4123.1000000000004</v>
      </c>
      <c r="L872" s="139">
        <f t="shared" si="284"/>
        <v>172</v>
      </c>
      <c r="M872" s="138" t="s">
        <v>934</v>
      </c>
      <c r="N872" s="138" t="s">
        <v>934</v>
      </c>
      <c r="O872" s="136" t="s">
        <v>934</v>
      </c>
      <c r="P872" s="130">
        <v>7408727.5099999998</v>
      </c>
      <c r="Q872" s="130">
        <f t="shared" ref="Q872:S872" si="285">Q873</f>
        <v>0</v>
      </c>
      <c r="R872" s="130">
        <f t="shared" si="285"/>
        <v>0</v>
      </c>
      <c r="S872" s="130">
        <f t="shared" si="285"/>
        <v>7408727.5099999998</v>
      </c>
      <c r="T872" s="130">
        <f t="shared" si="260"/>
        <v>1257.9851647717239</v>
      </c>
      <c r="U872" s="130">
        <f>U873</f>
        <v>1713.4428583071847</v>
      </c>
    </row>
    <row r="873" spans="1:21" s="64" customFormat="1" ht="36" customHeight="1" x14ac:dyDescent="0.9">
      <c r="A873" s="64">
        <v>1</v>
      </c>
      <c r="B873" s="96">
        <f>SUBTOTAL(103,$A$561:A873)</f>
        <v>276</v>
      </c>
      <c r="C873" s="94" t="s">
        <v>54</v>
      </c>
      <c r="D873" s="138">
        <v>1989</v>
      </c>
      <c r="E873" s="138"/>
      <c r="F873" s="167" t="s">
        <v>273</v>
      </c>
      <c r="G873" s="138">
        <v>5</v>
      </c>
      <c r="H873" s="138">
        <v>6</v>
      </c>
      <c r="I873" s="129">
        <v>5889.36</v>
      </c>
      <c r="J873" s="129">
        <v>4270.6000000000004</v>
      </c>
      <c r="K873" s="129">
        <v>4123.1000000000004</v>
      </c>
      <c r="L873" s="139">
        <v>172</v>
      </c>
      <c r="M873" s="138" t="s">
        <v>271</v>
      </c>
      <c r="N873" s="138" t="s">
        <v>275</v>
      </c>
      <c r="O873" s="136" t="s">
        <v>278</v>
      </c>
      <c r="P873" s="130">
        <v>7408727.5099999998</v>
      </c>
      <c r="Q873" s="130">
        <v>0</v>
      </c>
      <c r="R873" s="130">
        <v>0</v>
      </c>
      <c r="S873" s="130">
        <f>P873-Q873-R873</f>
        <v>7408727.5099999998</v>
      </c>
      <c r="T873" s="130">
        <f t="shared" si="260"/>
        <v>1257.9851647717239</v>
      </c>
      <c r="U873" s="130">
        <v>1713.4428583071847</v>
      </c>
    </row>
    <row r="874" spans="1:21" s="64" customFormat="1" ht="36" customHeight="1" x14ac:dyDescent="0.9">
      <c r="B874" s="94" t="s">
        <v>888</v>
      </c>
      <c r="C874" s="94"/>
      <c r="D874" s="138" t="s">
        <v>934</v>
      </c>
      <c r="E874" s="138" t="s">
        <v>934</v>
      </c>
      <c r="F874" s="138" t="s">
        <v>934</v>
      </c>
      <c r="G874" s="138" t="s">
        <v>934</v>
      </c>
      <c r="H874" s="138" t="s">
        <v>934</v>
      </c>
      <c r="I874" s="129">
        <f>I875</f>
        <v>485.3</v>
      </c>
      <c r="J874" s="129">
        <f t="shared" ref="J874:L874" si="286">J875</f>
        <v>441.3</v>
      </c>
      <c r="K874" s="129">
        <f t="shared" si="286"/>
        <v>441.3</v>
      </c>
      <c r="L874" s="139">
        <f t="shared" si="286"/>
        <v>24</v>
      </c>
      <c r="M874" s="138" t="s">
        <v>934</v>
      </c>
      <c r="N874" s="138" t="s">
        <v>934</v>
      </c>
      <c r="O874" s="136" t="s">
        <v>934</v>
      </c>
      <c r="P874" s="130">
        <v>2311215.4500000002</v>
      </c>
      <c r="Q874" s="130">
        <f t="shared" ref="Q874:S874" si="287">Q875</f>
        <v>0</v>
      </c>
      <c r="R874" s="130">
        <f t="shared" si="287"/>
        <v>0</v>
      </c>
      <c r="S874" s="130">
        <f t="shared" si="287"/>
        <v>2311215.4500000002</v>
      </c>
      <c r="T874" s="130">
        <f t="shared" si="260"/>
        <v>4762.4468370080367</v>
      </c>
      <c r="U874" s="130">
        <f>U875</f>
        <v>5530.9792705542968</v>
      </c>
    </row>
    <row r="875" spans="1:21" s="64" customFormat="1" ht="36" customHeight="1" x14ac:dyDescent="0.9">
      <c r="A875" s="64">
        <v>1</v>
      </c>
      <c r="B875" s="96">
        <f>SUBTOTAL(103,$A$561:A875)</f>
        <v>277</v>
      </c>
      <c r="C875" s="94" t="s">
        <v>53</v>
      </c>
      <c r="D875" s="138">
        <v>1952</v>
      </c>
      <c r="E875" s="138"/>
      <c r="F875" s="167" t="s">
        <v>273</v>
      </c>
      <c r="G875" s="138">
        <v>2</v>
      </c>
      <c r="H875" s="138">
        <v>2</v>
      </c>
      <c r="I875" s="129">
        <v>485.3</v>
      </c>
      <c r="J875" s="129">
        <v>441.3</v>
      </c>
      <c r="K875" s="129">
        <v>441.3</v>
      </c>
      <c r="L875" s="139">
        <v>24</v>
      </c>
      <c r="M875" s="138" t="s">
        <v>271</v>
      </c>
      <c r="N875" s="138" t="s">
        <v>275</v>
      </c>
      <c r="O875" s="136" t="s">
        <v>279</v>
      </c>
      <c r="P875" s="130">
        <v>2311215.4500000002</v>
      </c>
      <c r="Q875" s="130">
        <v>0</v>
      </c>
      <c r="R875" s="130">
        <v>0</v>
      </c>
      <c r="S875" s="130">
        <f>P875-Q875-R875</f>
        <v>2311215.4500000002</v>
      </c>
      <c r="T875" s="130">
        <f t="shared" si="260"/>
        <v>4762.4468370080367</v>
      </c>
      <c r="U875" s="130">
        <v>5530.9792705542968</v>
      </c>
    </row>
    <row r="876" spans="1:21" s="64" customFormat="1" ht="36" customHeight="1" x14ac:dyDescent="0.9">
      <c r="B876" s="94" t="s">
        <v>889</v>
      </c>
      <c r="C876" s="94"/>
      <c r="D876" s="138" t="s">
        <v>934</v>
      </c>
      <c r="E876" s="138" t="s">
        <v>934</v>
      </c>
      <c r="F876" s="138" t="s">
        <v>934</v>
      </c>
      <c r="G876" s="138" t="s">
        <v>934</v>
      </c>
      <c r="H876" s="138" t="s">
        <v>934</v>
      </c>
      <c r="I876" s="129">
        <f>SUM(I877:I881)</f>
        <v>4891.9000000000005</v>
      </c>
      <c r="J876" s="129">
        <f t="shared" ref="J876:L876" si="288">SUM(J877:J881)</f>
        <v>4511.3200000000006</v>
      </c>
      <c r="K876" s="129">
        <f t="shared" si="288"/>
        <v>4393.6699999999992</v>
      </c>
      <c r="L876" s="139">
        <f t="shared" si="288"/>
        <v>172</v>
      </c>
      <c r="M876" s="138" t="s">
        <v>934</v>
      </c>
      <c r="N876" s="138" t="s">
        <v>934</v>
      </c>
      <c r="O876" s="136" t="s">
        <v>934</v>
      </c>
      <c r="P876" s="130">
        <v>16487311.32</v>
      </c>
      <c r="Q876" s="130">
        <f t="shared" ref="Q876:S876" si="289">Q877+Q878+Q879+Q880+Q881</f>
        <v>0</v>
      </c>
      <c r="R876" s="130">
        <f t="shared" si="289"/>
        <v>0</v>
      </c>
      <c r="S876" s="130">
        <f t="shared" si="289"/>
        <v>16487311.32</v>
      </c>
      <c r="T876" s="130">
        <f t="shared" si="260"/>
        <v>3370.3287720517587</v>
      </c>
      <c r="U876" s="130">
        <f>MAX(U877:U881)</f>
        <v>6760.4262961707891</v>
      </c>
    </row>
    <row r="877" spans="1:21" s="64" customFormat="1" ht="36" customHeight="1" x14ac:dyDescent="0.9">
      <c r="A877" s="64">
        <v>1</v>
      </c>
      <c r="B877" s="96">
        <f>SUBTOTAL(103,$A$561:A877)</f>
        <v>278</v>
      </c>
      <c r="C877" s="94" t="s">
        <v>60</v>
      </c>
      <c r="D877" s="138">
        <v>1970</v>
      </c>
      <c r="E877" s="138"/>
      <c r="F877" s="167" t="s">
        <v>273</v>
      </c>
      <c r="G877" s="138">
        <v>5</v>
      </c>
      <c r="H877" s="138">
        <v>2</v>
      </c>
      <c r="I877" s="129">
        <v>2323.8000000000002</v>
      </c>
      <c r="J877" s="129">
        <v>2172.1400000000003</v>
      </c>
      <c r="K877" s="129">
        <v>2094.89</v>
      </c>
      <c r="L877" s="139">
        <v>51</v>
      </c>
      <c r="M877" s="138" t="s">
        <v>271</v>
      </c>
      <c r="N877" s="138" t="s">
        <v>275</v>
      </c>
      <c r="O877" s="136" t="s">
        <v>281</v>
      </c>
      <c r="P877" s="130">
        <v>3462053.4</v>
      </c>
      <c r="Q877" s="130">
        <v>0</v>
      </c>
      <c r="R877" s="130">
        <v>0</v>
      </c>
      <c r="S877" s="130">
        <f t="shared" ref="S877:S881" si="290">P877-Q877-R877</f>
        <v>3462053.4</v>
      </c>
      <c r="T877" s="130">
        <f t="shared" si="260"/>
        <v>1489.8241673121609</v>
      </c>
      <c r="U877" s="130">
        <v>1724.8214045959203</v>
      </c>
    </row>
    <row r="878" spans="1:21" s="64" customFormat="1" ht="36" customHeight="1" x14ac:dyDescent="0.9">
      <c r="A878" s="64">
        <v>1</v>
      </c>
      <c r="B878" s="96">
        <f>SUBTOTAL(103,$A$561:A878)</f>
        <v>279</v>
      </c>
      <c r="C878" s="94" t="s">
        <v>61</v>
      </c>
      <c r="D878" s="138">
        <v>1972</v>
      </c>
      <c r="E878" s="138"/>
      <c r="F878" s="167" t="s">
        <v>273</v>
      </c>
      <c r="G878" s="138">
        <v>2</v>
      </c>
      <c r="H878" s="138">
        <v>2</v>
      </c>
      <c r="I878" s="129">
        <v>590.20000000000005</v>
      </c>
      <c r="J878" s="129">
        <v>529.80000000000007</v>
      </c>
      <c r="K878" s="129">
        <v>529.79999999999995</v>
      </c>
      <c r="L878" s="139">
        <v>31</v>
      </c>
      <c r="M878" s="138" t="s">
        <v>271</v>
      </c>
      <c r="N878" s="138" t="s">
        <v>272</v>
      </c>
      <c r="O878" s="136" t="s">
        <v>274</v>
      </c>
      <c r="P878" s="130">
        <v>3446388</v>
      </c>
      <c r="Q878" s="130">
        <v>0</v>
      </c>
      <c r="R878" s="130">
        <v>0</v>
      </c>
      <c r="S878" s="130">
        <f t="shared" si="290"/>
        <v>3446388</v>
      </c>
      <c r="T878" s="130">
        <f t="shared" si="260"/>
        <v>5839.3561504574718</v>
      </c>
      <c r="U878" s="130">
        <v>6760.4262961707891</v>
      </c>
    </row>
    <row r="879" spans="1:21" s="64" customFormat="1" ht="36" customHeight="1" x14ac:dyDescent="0.9">
      <c r="A879" s="64">
        <v>1</v>
      </c>
      <c r="B879" s="96">
        <f>SUBTOTAL(103,$A$561:A879)</f>
        <v>280</v>
      </c>
      <c r="C879" s="94" t="s">
        <v>59</v>
      </c>
      <c r="D879" s="138">
        <v>1974</v>
      </c>
      <c r="E879" s="138"/>
      <c r="F879" s="167" t="s">
        <v>273</v>
      </c>
      <c r="G879" s="138">
        <v>2</v>
      </c>
      <c r="H879" s="138">
        <v>2</v>
      </c>
      <c r="I879" s="129">
        <v>701.7</v>
      </c>
      <c r="J879" s="129">
        <v>641.1</v>
      </c>
      <c r="K879" s="129">
        <v>600.70000000000005</v>
      </c>
      <c r="L879" s="139">
        <v>36</v>
      </c>
      <c r="M879" s="138" t="s">
        <v>271</v>
      </c>
      <c r="N879" s="138" t="s">
        <v>272</v>
      </c>
      <c r="O879" s="136" t="s">
        <v>274</v>
      </c>
      <c r="P879" s="130">
        <v>3378504.6</v>
      </c>
      <c r="Q879" s="130">
        <v>0</v>
      </c>
      <c r="R879" s="130">
        <v>0</v>
      </c>
      <c r="S879" s="130">
        <f t="shared" si="290"/>
        <v>3378504.6</v>
      </c>
      <c r="T879" s="130">
        <f t="shared" si="260"/>
        <v>4814.7421975203079</v>
      </c>
      <c r="U879" s="130">
        <v>5574.1949836112299</v>
      </c>
    </row>
    <row r="880" spans="1:21" s="64" customFormat="1" ht="36" customHeight="1" x14ac:dyDescent="0.9">
      <c r="A880" s="64">
        <v>1</v>
      </c>
      <c r="B880" s="96">
        <f>SUBTOTAL(103,$A$561:A880)</f>
        <v>281</v>
      </c>
      <c r="C880" s="94" t="s">
        <v>62</v>
      </c>
      <c r="D880" s="138">
        <v>1982</v>
      </c>
      <c r="E880" s="138"/>
      <c r="F880" s="167" t="s">
        <v>273</v>
      </c>
      <c r="G880" s="138">
        <v>2</v>
      </c>
      <c r="H880" s="138">
        <v>2</v>
      </c>
      <c r="I880" s="129">
        <v>549.6</v>
      </c>
      <c r="J880" s="129">
        <v>502.6</v>
      </c>
      <c r="K880" s="129">
        <v>502.6</v>
      </c>
      <c r="L880" s="139">
        <v>25</v>
      </c>
      <c r="M880" s="138" t="s">
        <v>271</v>
      </c>
      <c r="N880" s="138" t="s">
        <v>272</v>
      </c>
      <c r="O880" s="136" t="s">
        <v>274</v>
      </c>
      <c r="P880" s="130">
        <v>2799929.1599999997</v>
      </c>
      <c r="Q880" s="130">
        <v>0</v>
      </c>
      <c r="R880" s="130">
        <v>0</v>
      </c>
      <c r="S880" s="130">
        <f t="shared" si="290"/>
        <v>2799929.1599999997</v>
      </c>
      <c r="T880" s="130">
        <f t="shared" si="260"/>
        <v>5094.4853711790383</v>
      </c>
      <c r="U880" s="130">
        <v>5898.0634133915573</v>
      </c>
    </row>
    <row r="881" spans="1:21" s="64" customFormat="1" ht="36" customHeight="1" x14ac:dyDescent="0.9">
      <c r="A881" s="64">
        <v>1</v>
      </c>
      <c r="B881" s="96">
        <f>SUBTOTAL(103,$A$561:A881)</f>
        <v>282</v>
      </c>
      <c r="C881" s="94" t="s">
        <v>58</v>
      </c>
      <c r="D881" s="138">
        <v>1970</v>
      </c>
      <c r="E881" s="138"/>
      <c r="F881" s="167" t="s">
        <v>273</v>
      </c>
      <c r="G881" s="138">
        <v>2</v>
      </c>
      <c r="H881" s="138">
        <v>2</v>
      </c>
      <c r="I881" s="129">
        <v>726.6</v>
      </c>
      <c r="J881" s="129">
        <v>665.68000000000006</v>
      </c>
      <c r="K881" s="129">
        <v>665.68</v>
      </c>
      <c r="L881" s="139">
        <v>29</v>
      </c>
      <c r="M881" s="138" t="s">
        <v>271</v>
      </c>
      <c r="N881" s="138" t="s">
        <v>272</v>
      </c>
      <c r="O881" s="136" t="s">
        <v>274</v>
      </c>
      <c r="P881" s="130">
        <v>3400436.16</v>
      </c>
      <c r="Q881" s="130">
        <v>0</v>
      </c>
      <c r="R881" s="130">
        <v>0</v>
      </c>
      <c r="S881" s="130">
        <f t="shared" si="290"/>
        <v>3400436.16</v>
      </c>
      <c r="T881" s="130">
        <f t="shared" si="260"/>
        <v>4679.9286540049543</v>
      </c>
      <c r="U881" s="130">
        <v>5418.1166418937519</v>
      </c>
    </row>
    <row r="882" spans="1:21" s="64" customFormat="1" ht="36" customHeight="1" x14ac:dyDescent="0.9">
      <c r="B882" s="94" t="s">
        <v>890</v>
      </c>
      <c r="C882" s="126"/>
      <c r="D882" s="138" t="s">
        <v>934</v>
      </c>
      <c r="E882" s="138" t="s">
        <v>934</v>
      </c>
      <c r="F882" s="138" t="s">
        <v>934</v>
      </c>
      <c r="G882" s="138" t="s">
        <v>934</v>
      </c>
      <c r="H882" s="138" t="s">
        <v>934</v>
      </c>
      <c r="I882" s="129">
        <f>I883+I884</f>
        <v>4053.7</v>
      </c>
      <c r="J882" s="129">
        <f t="shared" ref="J882:L882" si="291">J883+J884</f>
        <v>3133.3999999999996</v>
      </c>
      <c r="K882" s="129">
        <f t="shared" si="291"/>
        <v>3133.3999999999996</v>
      </c>
      <c r="L882" s="139">
        <f t="shared" si="291"/>
        <v>118</v>
      </c>
      <c r="M882" s="138" t="s">
        <v>934</v>
      </c>
      <c r="N882" s="138" t="s">
        <v>934</v>
      </c>
      <c r="O882" s="136" t="s">
        <v>934</v>
      </c>
      <c r="P882" s="130">
        <v>6032850.6600000001</v>
      </c>
      <c r="Q882" s="130">
        <f t="shared" ref="Q882:S882" si="292">Q883+Q884</f>
        <v>0</v>
      </c>
      <c r="R882" s="130">
        <f t="shared" si="292"/>
        <v>0</v>
      </c>
      <c r="S882" s="130">
        <f t="shared" si="292"/>
        <v>6032850.6600000001</v>
      </c>
      <c r="T882" s="130">
        <f t="shared" si="260"/>
        <v>1488.2331351604707</v>
      </c>
      <c r="U882" s="130">
        <f>MAX(U883:U884)</f>
        <v>5327.4168582375478</v>
      </c>
    </row>
    <row r="883" spans="1:21" s="64" customFormat="1" ht="36" customHeight="1" x14ac:dyDescent="0.9">
      <c r="A883" s="64">
        <v>1</v>
      </c>
      <c r="B883" s="96">
        <f>SUBTOTAL(103,$A$561:A883)</f>
        <v>283</v>
      </c>
      <c r="C883" s="94" t="s">
        <v>234</v>
      </c>
      <c r="D883" s="138">
        <v>1988</v>
      </c>
      <c r="E883" s="138"/>
      <c r="F883" s="167" t="s">
        <v>273</v>
      </c>
      <c r="G883" s="138">
        <v>5</v>
      </c>
      <c r="H883" s="138">
        <v>4</v>
      </c>
      <c r="I883" s="129">
        <v>3662.2</v>
      </c>
      <c r="J883" s="129">
        <v>2766.2</v>
      </c>
      <c r="K883" s="129">
        <v>2766.2</v>
      </c>
      <c r="L883" s="139">
        <v>110</v>
      </c>
      <c r="M883" s="138" t="s">
        <v>271</v>
      </c>
      <c r="N883" s="138" t="s">
        <v>275</v>
      </c>
      <c r="O883" s="136" t="s">
        <v>744</v>
      </c>
      <c r="P883" s="130">
        <v>4231329.66</v>
      </c>
      <c r="Q883" s="130">
        <v>0</v>
      </c>
      <c r="R883" s="130">
        <v>0</v>
      </c>
      <c r="S883" s="130">
        <f t="shared" ref="S883:S884" si="293">P883-Q883-R883</f>
        <v>4231329.66</v>
      </c>
      <c r="T883" s="130">
        <f t="shared" si="260"/>
        <v>1155.4064933646443</v>
      </c>
      <c r="U883" s="130">
        <v>1416.3630276882748</v>
      </c>
    </row>
    <row r="884" spans="1:21" s="64" customFormat="1" ht="36" customHeight="1" x14ac:dyDescent="0.9">
      <c r="A884" s="64">
        <v>1</v>
      </c>
      <c r="B884" s="96">
        <f>SUBTOTAL(103,$A$561:A884)</f>
        <v>284</v>
      </c>
      <c r="C884" s="94" t="s">
        <v>233</v>
      </c>
      <c r="D884" s="138">
        <v>1966</v>
      </c>
      <c r="E884" s="138"/>
      <c r="F884" s="167" t="s">
        <v>273</v>
      </c>
      <c r="G884" s="138">
        <v>2</v>
      </c>
      <c r="H884" s="138">
        <v>1</v>
      </c>
      <c r="I884" s="129">
        <v>391.5</v>
      </c>
      <c r="J884" s="129">
        <v>367.2</v>
      </c>
      <c r="K884" s="129">
        <v>367.2</v>
      </c>
      <c r="L884" s="139">
        <v>8</v>
      </c>
      <c r="M884" s="138" t="s">
        <v>271</v>
      </c>
      <c r="N884" s="138" t="s">
        <v>275</v>
      </c>
      <c r="O884" s="136" t="s">
        <v>744</v>
      </c>
      <c r="P884" s="130">
        <v>1801521</v>
      </c>
      <c r="Q884" s="130">
        <v>0</v>
      </c>
      <c r="R884" s="130">
        <v>0</v>
      </c>
      <c r="S884" s="130">
        <f t="shared" si="293"/>
        <v>1801521</v>
      </c>
      <c r="T884" s="130">
        <f t="shared" si="260"/>
        <v>4601.5862068965516</v>
      </c>
      <c r="U884" s="130">
        <v>5327.4168582375478</v>
      </c>
    </row>
    <row r="885" spans="1:21" s="64" customFormat="1" ht="36" customHeight="1" x14ac:dyDescent="0.9">
      <c r="B885" s="94" t="s">
        <v>892</v>
      </c>
      <c r="C885" s="126"/>
      <c r="D885" s="138" t="s">
        <v>934</v>
      </c>
      <c r="E885" s="138" t="s">
        <v>934</v>
      </c>
      <c r="F885" s="138" t="s">
        <v>934</v>
      </c>
      <c r="G885" s="138" t="s">
        <v>934</v>
      </c>
      <c r="H885" s="138" t="s">
        <v>934</v>
      </c>
      <c r="I885" s="129">
        <f>I886</f>
        <v>545.34</v>
      </c>
      <c r="J885" s="129">
        <f t="shared" ref="J885:L885" si="294">J886</f>
        <v>316.54000000000002</v>
      </c>
      <c r="K885" s="129">
        <f t="shared" si="294"/>
        <v>204.04</v>
      </c>
      <c r="L885" s="139">
        <f t="shared" si="294"/>
        <v>22</v>
      </c>
      <c r="M885" s="138" t="s">
        <v>934</v>
      </c>
      <c r="N885" s="138" t="s">
        <v>934</v>
      </c>
      <c r="O885" s="136" t="s">
        <v>934</v>
      </c>
      <c r="P885" s="130">
        <v>1799918.22</v>
      </c>
      <c r="Q885" s="130">
        <f t="shared" ref="Q885:S885" si="295">Q886</f>
        <v>0</v>
      </c>
      <c r="R885" s="130">
        <f t="shared" si="295"/>
        <v>0</v>
      </c>
      <c r="S885" s="130">
        <f t="shared" si="295"/>
        <v>1799918.22</v>
      </c>
      <c r="T885" s="130">
        <f t="shared" si="260"/>
        <v>3300.5431840686542</v>
      </c>
      <c r="U885" s="130">
        <f>U886</f>
        <v>3999.4813972934317</v>
      </c>
    </row>
    <row r="886" spans="1:21" s="64" customFormat="1" ht="36" customHeight="1" x14ac:dyDescent="0.9">
      <c r="A886" s="64">
        <v>1</v>
      </c>
      <c r="B886" s="96">
        <f>SUBTOTAL(103,$A$561:A886)</f>
        <v>285</v>
      </c>
      <c r="C886" s="94" t="s">
        <v>151</v>
      </c>
      <c r="D886" s="138">
        <v>1968</v>
      </c>
      <c r="E886" s="138"/>
      <c r="F886" s="167" t="s">
        <v>273</v>
      </c>
      <c r="G886" s="138">
        <v>2</v>
      </c>
      <c r="H886" s="138">
        <v>1</v>
      </c>
      <c r="I886" s="129">
        <v>545.34</v>
      </c>
      <c r="J886" s="129">
        <v>316.54000000000002</v>
      </c>
      <c r="K886" s="129">
        <v>204.04</v>
      </c>
      <c r="L886" s="139">
        <v>22</v>
      </c>
      <c r="M886" s="138" t="s">
        <v>271</v>
      </c>
      <c r="N886" s="138" t="s">
        <v>275</v>
      </c>
      <c r="O886" s="136" t="s">
        <v>1055</v>
      </c>
      <c r="P886" s="130">
        <v>1799918.22</v>
      </c>
      <c r="Q886" s="130">
        <v>0</v>
      </c>
      <c r="R886" s="130">
        <v>0</v>
      </c>
      <c r="S886" s="130">
        <f>P886-Q886-R886</f>
        <v>1799918.22</v>
      </c>
      <c r="T886" s="130">
        <f t="shared" si="260"/>
        <v>3300.5431840686542</v>
      </c>
      <c r="U886" s="130">
        <v>3999.4813972934317</v>
      </c>
    </row>
    <row r="887" spans="1:21" s="64" customFormat="1" ht="36" customHeight="1" x14ac:dyDescent="0.9">
      <c r="B887" s="94" t="s">
        <v>920</v>
      </c>
      <c r="C887" s="94"/>
      <c r="D887" s="138" t="s">
        <v>934</v>
      </c>
      <c r="E887" s="138" t="s">
        <v>934</v>
      </c>
      <c r="F887" s="138" t="s">
        <v>934</v>
      </c>
      <c r="G887" s="138" t="s">
        <v>934</v>
      </c>
      <c r="H887" s="138" t="s">
        <v>934</v>
      </c>
      <c r="I887" s="129">
        <f>I888</f>
        <v>2138.8000000000002</v>
      </c>
      <c r="J887" s="129">
        <f t="shared" ref="J887:L887" si="296">J888</f>
        <v>959.97</v>
      </c>
      <c r="K887" s="129">
        <f t="shared" si="296"/>
        <v>458.1</v>
      </c>
      <c r="L887" s="139">
        <f t="shared" si="296"/>
        <v>56</v>
      </c>
      <c r="M887" s="138" t="s">
        <v>934</v>
      </c>
      <c r="N887" s="138" t="s">
        <v>934</v>
      </c>
      <c r="O887" s="136" t="s">
        <v>934</v>
      </c>
      <c r="P887" s="130">
        <v>3974620.0799999996</v>
      </c>
      <c r="Q887" s="130">
        <f t="shared" ref="Q887:S887" si="297">Q888</f>
        <v>0</v>
      </c>
      <c r="R887" s="130">
        <f t="shared" si="297"/>
        <v>0</v>
      </c>
      <c r="S887" s="130">
        <f t="shared" si="297"/>
        <v>3974620.0799999996</v>
      </c>
      <c r="T887" s="130">
        <f t="shared" si="260"/>
        <v>1858.3411632691225</v>
      </c>
      <c r="U887" s="130">
        <f>U888</f>
        <v>1865.5447294205928</v>
      </c>
    </row>
    <row r="888" spans="1:21" s="64" customFormat="1" ht="36" customHeight="1" x14ac:dyDescent="0.9">
      <c r="A888" s="64">
        <v>1</v>
      </c>
      <c r="B888" s="96">
        <f>SUBTOTAL(103,$A$561:A888)</f>
        <v>286</v>
      </c>
      <c r="C888" s="94" t="s">
        <v>152</v>
      </c>
      <c r="D888" s="138">
        <v>1983</v>
      </c>
      <c r="E888" s="138"/>
      <c r="F888" s="167" t="s">
        <v>273</v>
      </c>
      <c r="G888" s="138">
        <v>2</v>
      </c>
      <c r="H888" s="138">
        <v>3</v>
      </c>
      <c r="I888" s="129">
        <v>2138.8000000000002</v>
      </c>
      <c r="J888" s="129">
        <v>959.97</v>
      </c>
      <c r="K888" s="129">
        <v>458.1</v>
      </c>
      <c r="L888" s="139">
        <v>56</v>
      </c>
      <c r="M888" s="138" t="s">
        <v>271</v>
      </c>
      <c r="N888" s="138" t="s">
        <v>275</v>
      </c>
      <c r="O888" s="136" t="s">
        <v>294</v>
      </c>
      <c r="P888" s="130">
        <v>3974620.0799999996</v>
      </c>
      <c r="Q888" s="130">
        <v>0</v>
      </c>
      <c r="R888" s="130">
        <v>0</v>
      </c>
      <c r="S888" s="130">
        <f>P888-Q888-R888</f>
        <v>3974620.0799999996</v>
      </c>
      <c r="T888" s="130">
        <f t="shared" si="260"/>
        <v>1858.3411632691225</v>
      </c>
      <c r="U888" s="130">
        <v>1865.5447294205928</v>
      </c>
    </row>
    <row r="889" spans="1:21" s="64" customFormat="1" ht="36" customHeight="1" x14ac:dyDescent="0.9">
      <c r="B889" s="94" t="s">
        <v>921</v>
      </c>
      <c r="C889" s="94"/>
      <c r="D889" s="138" t="s">
        <v>934</v>
      </c>
      <c r="E889" s="138" t="s">
        <v>934</v>
      </c>
      <c r="F889" s="138" t="s">
        <v>934</v>
      </c>
      <c r="G889" s="138" t="s">
        <v>934</v>
      </c>
      <c r="H889" s="138" t="s">
        <v>934</v>
      </c>
      <c r="I889" s="129">
        <f>I890</f>
        <v>1367.9</v>
      </c>
      <c r="J889" s="129">
        <f t="shared" ref="J889:L889" si="298">J890</f>
        <v>926.7</v>
      </c>
      <c r="K889" s="129">
        <f t="shared" si="298"/>
        <v>324.89999999999998</v>
      </c>
      <c r="L889" s="139">
        <f t="shared" si="298"/>
        <v>64</v>
      </c>
      <c r="M889" s="138" t="s">
        <v>934</v>
      </c>
      <c r="N889" s="138" t="s">
        <v>934</v>
      </c>
      <c r="O889" s="136" t="s">
        <v>934</v>
      </c>
      <c r="P889" s="130">
        <v>2957808</v>
      </c>
      <c r="Q889" s="130">
        <f t="shared" ref="Q889:S889" si="299">Q890</f>
        <v>0</v>
      </c>
      <c r="R889" s="130">
        <f t="shared" si="299"/>
        <v>0</v>
      </c>
      <c r="S889" s="130">
        <f t="shared" si="299"/>
        <v>2957808</v>
      </c>
      <c r="T889" s="130">
        <f t="shared" si="260"/>
        <v>2162.2984136267269</v>
      </c>
      <c r="U889" s="130">
        <f>U890</f>
        <v>2651.7113824109947</v>
      </c>
    </row>
    <row r="890" spans="1:21" s="64" customFormat="1" ht="36" customHeight="1" x14ac:dyDescent="0.9">
      <c r="A890" s="64">
        <v>1</v>
      </c>
      <c r="B890" s="96">
        <f>SUBTOTAL(103,$A$561:A890)</f>
        <v>287</v>
      </c>
      <c r="C890" s="94" t="s">
        <v>157</v>
      </c>
      <c r="D890" s="138">
        <v>1974</v>
      </c>
      <c r="E890" s="138"/>
      <c r="F890" s="167" t="s">
        <v>273</v>
      </c>
      <c r="G890" s="138">
        <v>2</v>
      </c>
      <c r="H890" s="138">
        <v>1</v>
      </c>
      <c r="I890" s="129">
        <v>1367.9</v>
      </c>
      <c r="J890" s="129">
        <v>926.7</v>
      </c>
      <c r="K890" s="129">
        <v>324.89999999999998</v>
      </c>
      <c r="L890" s="139">
        <v>64</v>
      </c>
      <c r="M890" s="138" t="s">
        <v>271</v>
      </c>
      <c r="N890" s="138" t="s">
        <v>275</v>
      </c>
      <c r="O890" s="136" t="s">
        <v>1055</v>
      </c>
      <c r="P890" s="130">
        <v>2957808</v>
      </c>
      <c r="Q890" s="130">
        <v>0</v>
      </c>
      <c r="R890" s="130">
        <v>0</v>
      </c>
      <c r="S890" s="130">
        <f>P890-Q890-R890</f>
        <v>2957808</v>
      </c>
      <c r="T890" s="130">
        <f t="shared" si="260"/>
        <v>2162.2984136267269</v>
      </c>
      <c r="U890" s="130">
        <v>2651.7113824109947</v>
      </c>
    </row>
    <row r="891" spans="1:21" s="64" customFormat="1" ht="36" customHeight="1" x14ac:dyDescent="0.9">
      <c r="B891" s="94" t="s">
        <v>894</v>
      </c>
      <c r="C891" s="94"/>
      <c r="D891" s="138" t="s">
        <v>934</v>
      </c>
      <c r="E891" s="138" t="s">
        <v>934</v>
      </c>
      <c r="F891" s="138" t="s">
        <v>934</v>
      </c>
      <c r="G891" s="138" t="s">
        <v>934</v>
      </c>
      <c r="H891" s="138" t="s">
        <v>934</v>
      </c>
      <c r="I891" s="129">
        <f>I892</f>
        <v>2208.39</v>
      </c>
      <c r="J891" s="129">
        <f t="shared" ref="J891:L891" si="300">J892</f>
        <v>2056</v>
      </c>
      <c r="K891" s="129">
        <f t="shared" si="300"/>
        <v>446.69</v>
      </c>
      <c r="L891" s="139">
        <f t="shared" si="300"/>
        <v>74</v>
      </c>
      <c r="M891" s="138" t="s">
        <v>934</v>
      </c>
      <c r="N891" s="138" t="s">
        <v>934</v>
      </c>
      <c r="O891" s="136" t="s">
        <v>934</v>
      </c>
      <c r="P891" s="130">
        <v>4651054.3499999996</v>
      </c>
      <c r="Q891" s="130">
        <f t="shared" ref="Q891:S891" si="301">Q892</f>
        <v>0</v>
      </c>
      <c r="R891" s="130">
        <f t="shared" si="301"/>
        <v>0</v>
      </c>
      <c r="S891" s="130">
        <f t="shared" si="301"/>
        <v>4651054.3499999996</v>
      </c>
      <c r="T891" s="130">
        <f t="shared" si="260"/>
        <v>2106.0837759634846</v>
      </c>
      <c r="U891" s="130">
        <f>U892</f>
        <v>2148.9347895978517</v>
      </c>
    </row>
    <row r="892" spans="1:21" s="64" customFormat="1" ht="36" customHeight="1" x14ac:dyDescent="0.9">
      <c r="A892" s="64">
        <v>1</v>
      </c>
      <c r="B892" s="96">
        <f>SUBTOTAL(103,$A$561:A892)</f>
        <v>288</v>
      </c>
      <c r="C892" s="94" t="s">
        <v>156</v>
      </c>
      <c r="D892" s="138">
        <v>1970</v>
      </c>
      <c r="E892" s="138"/>
      <c r="F892" s="167" t="s">
        <v>273</v>
      </c>
      <c r="G892" s="138">
        <v>5</v>
      </c>
      <c r="H892" s="138">
        <v>4</v>
      </c>
      <c r="I892" s="129">
        <v>2208.39</v>
      </c>
      <c r="J892" s="129">
        <v>2056</v>
      </c>
      <c r="K892" s="129">
        <v>446.69</v>
      </c>
      <c r="L892" s="139">
        <v>74</v>
      </c>
      <c r="M892" s="138" t="s">
        <v>271</v>
      </c>
      <c r="N892" s="138" t="s">
        <v>275</v>
      </c>
      <c r="O892" s="136" t="s">
        <v>295</v>
      </c>
      <c r="P892" s="130">
        <v>4651054.3499999996</v>
      </c>
      <c r="Q892" s="130">
        <v>0</v>
      </c>
      <c r="R892" s="130">
        <v>0</v>
      </c>
      <c r="S892" s="130">
        <f>P892-Q892-R892</f>
        <v>4651054.3499999996</v>
      </c>
      <c r="T892" s="130">
        <f t="shared" si="260"/>
        <v>2106.0837759634846</v>
      </c>
      <c r="U892" s="130">
        <v>2148.9347895978517</v>
      </c>
    </row>
    <row r="893" spans="1:21" s="64" customFormat="1" ht="36" customHeight="1" x14ac:dyDescent="0.9">
      <c r="B893" s="94" t="s">
        <v>895</v>
      </c>
      <c r="C893" s="94"/>
      <c r="D893" s="138" t="s">
        <v>934</v>
      </c>
      <c r="E893" s="138" t="s">
        <v>934</v>
      </c>
      <c r="F893" s="138" t="s">
        <v>934</v>
      </c>
      <c r="G893" s="138" t="s">
        <v>934</v>
      </c>
      <c r="H893" s="138" t="s">
        <v>934</v>
      </c>
      <c r="I893" s="129">
        <f>I894</f>
        <v>1501</v>
      </c>
      <c r="J893" s="129">
        <f t="shared" ref="J893:L893" si="302">J894</f>
        <v>442.7</v>
      </c>
      <c r="K893" s="129">
        <f t="shared" si="302"/>
        <v>358.85</v>
      </c>
      <c r="L893" s="139">
        <f t="shared" si="302"/>
        <v>32</v>
      </c>
      <c r="M893" s="138" t="s">
        <v>934</v>
      </c>
      <c r="N893" s="138" t="s">
        <v>934</v>
      </c>
      <c r="O893" s="136" t="s">
        <v>934</v>
      </c>
      <c r="P893" s="129">
        <v>3145116.58</v>
      </c>
      <c r="Q893" s="129">
        <f t="shared" ref="Q893:S893" si="303">Q894</f>
        <v>0</v>
      </c>
      <c r="R893" s="129">
        <f t="shared" si="303"/>
        <v>0</v>
      </c>
      <c r="S893" s="129">
        <f t="shared" si="303"/>
        <v>3145116.58</v>
      </c>
      <c r="T893" s="130">
        <f t="shared" si="260"/>
        <v>2095.3474883411059</v>
      </c>
      <c r="U893" s="130">
        <f>MAX(U894)</f>
        <v>2425.8566191205859</v>
      </c>
    </row>
    <row r="894" spans="1:21" s="64" customFormat="1" ht="36" customHeight="1" x14ac:dyDescent="0.9">
      <c r="A894" s="64">
        <v>1</v>
      </c>
      <c r="B894" s="96">
        <f>SUBTOTAL(103,$A$561:A894)</f>
        <v>289</v>
      </c>
      <c r="C894" s="94" t="s">
        <v>155</v>
      </c>
      <c r="D894" s="138">
        <v>1978</v>
      </c>
      <c r="E894" s="138"/>
      <c r="F894" s="167" t="s">
        <v>273</v>
      </c>
      <c r="G894" s="138">
        <v>2</v>
      </c>
      <c r="H894" s="138">
        <v>2</v>
      </c>
      <c r="I894" s="129">
        <v>1501</v>
      </c>
      <c r="J894" s="129">
        <v>442.7</v>
      </c>
      <c r="K894" s="129">
        <v>358.85</v>
      </c>
      <c r="L894" s="139">
        <v>32</v>
      </c>
      <c r="M894" s="138" t="s">
        <v>271</v>
      </c>
      <c r="N894" s="138" t="s">
        <v>275</v>
      </c>
      <c r="O894" s="136" t="s">
        <v>300</v>
      </c>
      <c r="P894" s="130">
        <v>3145116.58</v>
      </c>
      <c r="Q894" s="130">
        <v>0</v>
      </c>
      <c r="R894" s="130">
        <v>0</v>
      </c>
      <c r="S894" s="130">
        <f t="shared" ref="S894" si="304">P894-Q894-R894</f>
        <v>3145116.58</v>
      </c>
      <c r="T894" s="130">
        <f t="shared" si="260"/>
        <v>2095.3474883411059</v>
      </c>
      <c r="U894" s="130">
        <v>2425.8566191205859</v>
      </c>
    </row>
    <row r="895" spans="1:21" s="64" customFormat="1" ht="36" customHeight="1" x14ac:dyDescent="0.9">
      <c r="B895" s="94" t="s">
        <v>896</v>
      </c>
      <c r="C895" s="94"/>
      <c r="D895" s="138" t="s">
        <v>934</v>
      </c>
      <c r="E895" s="138" t="s">
        <v>934</v>
      </c>
      <c r="F895" s="138" t="s">
        <v>934</v>
      </c>
      <c r="G895" s="138" t="s">
        <v>934</v>
      </c>
      <c r="H895" s="138" t="s">
        <v>934</v>
      </c>
      <c r="I895" s="129">
        <f>SUM(I896:I898)</f>
        <v>13890.4</v>
      </c>
      <c r="J895" s="129">
        <f t="shared" ref="J895:L895" si="305">SUM(J896:J898)</f>
        <v>9782.61</v>
      </c>
      <c r="K895" s="129">
        <f t="shared" si="305"/>
        <v>9631.75</v>
      </c>
      <c r="L895" s="139">
        <f t="shared" si="305"/>
        <v>506</v>
      </c>
      <c r="M895" s="138" t="s">
        <v>934</v>
      </c>
      <c r="N895" s="138" t="s">
        <v>934</v>
      </c>
      <c r="O895" s="136" t="s">
        <v>934</v>
      </c>
      <c r="P895" s="130">
        <v>13767321.040000001</v>
      </c>
      <c r="Q895" s="130">
        <f t="shared" ref="Q895:S895" si="306">Q896+Q897+Q898</f>
        <v>0</v>
      </c>
      <c r="R895" s="130">
        <f t="shared" si="306"/>
        <v>0</v>
      </c>
      <c r="S895" s="130">
        <f t="shared" si="306"/>
        <v>13767321.040000001</v>
      </c>
      <c r="T895" s="130">
        <f t="shared" si="260"/>
        <v>991.1392789264529</v>
      </c>
      <c r="U895" s="130">
        <f>MAX(U896:U898)</f>
        <v>1707.4383707159518</v>
      </c>
    </row>
    <row r="896" spans="1:21" s="64" customFormat="1" ht="36" customHeight="1" x14ac:dyDescent="0.9">
      <c r="A896" s="64">
        <v>1</v>
      </c>
      <c r="B896" s="96">
        <f>SUBTOTAL(103,$A$561:A896)</f>
        <v>290</v>
      </c>
      <c r="C896" s="94" t="s">
        <v>148</v>
      </c>
      <c r="D896" s="138">
        <v>1989</v>
      </c>
      <c r="E896" s="138"/>
      <c r="F896" s="167" t="s">
        <v>293</v>
      </c>
      <c r="G896" s="138">
        <v>5</v>
      </c>
      <c r="H896" s="138">
        <v>5</v>
      </c>
      <c r="I896" s="129">
        <v>3901.1</v>
      </c>
      <c r="J896" s="129">
        <v>2252.5</v>
      </c>
      <c r="K896" s="129">
        <v>2252.1999999999998</v>
      </c>
      <c r="L896" s="139">
        <v>188</v>
      </c>
      <c r="M896" s="138" t="s">
        <v>271</v>
      </c>
      <c r="N896" s="138" t="s">
        <v>297</v>
      </c>
      <c r="O896" s="136" t="s">
        <v>301</v>
      </c>
      <c r="P896" s="130">
        <v>6391288.3800000008</v>
      </c>
      <c r="Q896" s="130">
        <v>0</v>
      </c>
      <c r="R896" s="130">
        <v>0</v>
      </c>
      <c r="S896" s="130">
        <f t="shared" ref="S896:S898" si="307">P896-Q896-R896</f>
        <v>6391288.3800000008</v>
      </c>
      <c r="T896" s="130">
        <f t="shared" si="260"/>
        <v>1638.3297992873806</v>
      </c>
      <c r="U896" s="130">
        <v>1707.4383707159518</v>
      </c>
    </row>
    <row r="897" spans="1:21" s="64" customFormat="1" ht="36" customHeight="1" x14ac:dyDescent="0.9">
      <c r="A897" s="64">
        <v>1</v>
      </c>
      <c r="B897" s="96">
        <f>SUBTOTAL(103,$A$561:A897)</f>
        <v>291</v>
      </c>
      <c r="C897" s="94" t="s">
        <v>160</v>
      </c>
      <c r="D897" s="138">
        <v>1975</v>
      </c>
      <c r="E897" s="138"/>
      <c r="F897" s="167" t="s">
        <v>293</v>
      </c>
      <c r="G897" s="138">
        <v>5</v>
      </c>
      <c r="H897" s="138">
        <v>8</v>
      </c>
      <c r="I897" s="129">
        <v>8270.9699999999993</v>
      </c>
      <c r="J897" s="129">
        <v>6155.11</v>
      </c>
      <c r="K897" s="129">
        <v>6155.11</v>
      </c>
      <c r="L897" s="139">
        <v>233</v>
      </c>
      <c r="M897" s="138" t="s">
        <v>271</v>
      </c>
      <c r="N897" s="138" t="s">
        <v>275</v>
      </c>
      <c r="O897" s="136" t="s">
        <v>300</v>
      </c>
      <c r="P897" s="130">
        <v>6834775.6500000004</v>
      </c>
      <c r="Q897" s="130">
        <v>0</v>
      </c>
      <c r="R897" s="130">
        <v>0</v>
      </c>
      <c r="S897" s="130">
        <f t="shared" si="307"/>
        <v>6834775.6500000004</v>
      </c>
      <c r="T897" s="130">
        <f t="shared" si="260"/>
        <v>826.35720477767427</v>
      </c>
      <c r="U897" s="130">
        <v>1126.9769447839856</v>
      </c>
    </row>
    <row r="898" spans="1:21" s="64" customFormat="1" ht="36" customHeight="1" x14ac:dyDescent="0.9">
      <c r="A898" s="64">
        <v>1</v>
      </c>
      <c r="B898" s="96">
        <f>SUBTOTAL(103,$A$561:A898)</f>
        <v>292</v>
      </c>
      <c r="C898" s="94" t="s">
        <v>150</v>
      </c>
      <c r="D898" s="138">
        <v>1928</v>
      </c>
      <c r="E898" s="138"/>
      <c r="F898" s="167" t="s">
        <v>273</v>
      </c>
      <c r="G898" s="138">
        <v>3</v>
      </c>
      <c r="H898" s="138">
        <v>4</v>
      </c>
      <c r="I898" s="129">
        <v>1718.33</v>
      </c>
      <c r="J898" s="129">
        <v>1375</v>
      </c>
      <c r="K898" s="129">
        <v>1224.44</v>
      </c>
      <c r="L898" s="139">
        <v>85</v>
      </c>
      <c r="M898" s="138" t="s">
        <v>271</v>
      </c>
      <c r="N898" s="138" t="s">
        <v>275</v>
      </c>
      <c r="O898" s="136" t="s">
        <v>302</v>
      </c>
      <c r="P898" s="130">
        <v>541257.01</v>
      </c>
      <c r="Q898" s="130">
        <v>0</v>
      </c>
      <c r="R898" s="130">
        <v>0</v>
      </c>
      <c r="S898" s="130">
        <f t="shared" si="307"/>
        <v>541257.01</v>
      </c>
      <c r="T898" s="130">
        <f t="shared" si="260"/>
        <v>314.99014159096333</v>
      </c>
      <c r="U898" s="130">
        <v>314.99014159096333</v>
      </c>
    </row>
    <row r="899" spans="1:21" s="64" customFormat="1" ht="36" customHeight="1" x14ac:dyDescent="0.9">
      <c r="B899" s="94" t="s">
        <v>897</v>
      </c>
      <c r="C899" s="126"/>
      <c r="D899" s="138" t="s">
        <v>934</v>
      </c>
      <c r="E899" s="138" t="s">
        <v>934</v>
      </c>
      <c r="F899" s="138" t="s">
        <v>934</v>
      </c>
      <c r="G899" s="138" t="s">
        <v>934</v>
      </c>
      <c r="H899" s="138" t="s">
        <v>934</v>
      </c>
      <c r="I899" s="129">
        <f>SUM(I900:I901)</f>
        <v>4401.9799999999996</v>
      </c>
      <c r="J899" s="129">
        <f t="shared" ref="J899:L899" si="308">SUM(J900:J901)</f>
        <v>3794.38</v>
      </c>
      <c r="K899" s="129">
        <f t="shared" si="308"/>
        <v>3480</v>
      </c>
      <c r="L899" s="139">
        <f t="shared" si="308"/>
        <v>148</v>
      </c>
      <c r="M899" s="138" t="s">
        <v>934</v>
      </c>
      <c r="N899" s="138" t="s">
        <v>934</v>
      </c>
      <c r="O899" s="136" t="s">
        <v>934</v>
      </c>
      <c r="P899" s="130">
        <v>9023270.3999999985</v>
      </c>
      <c r="Q899" s="130">
        <f t="shared" ref="Q899:S899" si="309">Q900+Q901</f>
        <v>0</v>
      </c>
      <c r="R899" s="130">
        <f t="shared" si="309"/>
        <v>0</v>
      </c>
      <c r="S899" s="130">
        <f t="shared" si="309"/>
        <v>9023270.3999999985</v>
      </c>
      <c r="T899" s="130">
        <f t="shared" si="260"/>
        <v>2049.820853343268</v>
      </c>
      <c r="U899" s="130">
        <f>MAX(U900:U901)</f>
        <v>4716.3163120567378</v>
      </c>
    </row>
    <row r="900" spans="1:21" s="64" customFormat="1" ht="36" customHeight="1" x14ac:dyDescent="0.9">
      <c r="A900" s="64">
        <v>1</v>
      </c>
      <c r="B900" s="96">
        <f>SUBTOTAL(103,$A$561:A900)</f>
        <v>293</v>
      </c>
      <c r="C900" s="94" t="s">
        <v>97</v>
      </c>
      <c r="D900" s="138">
        <v>1967</v>
      </c>
      <c r="E900" s="138"/>
      <c r="F900" s="167" t="s">
        <v>273</v>
      </c>
      <c r="G900" s="138">
        <v>2</v>
      </c>
      <c r="H900" s="138">
        <v>2</v>
      </c>
      <c r="I900" s="129">
        <v>987</v>
      </c>
      <c r="J900" s="129">
        <v>915.8</v>
      </c>
      <c r="K900" s="129">
        <v>915.8</v>
      </c>
      <c r="L900" s="139">
        <v>33</v>
      </c>
      <c r="M900" s="138" t="s">
        <v>271</v>
      </c>
      <c r="N900" s="138" t="s">
        <v>275</v>
      </c>
      <c r="O900" s="136" t="s">
        <v>288</v>
      </c>
      <c r="P900" s="130">
        <v>4020786</v>
      </c>
      <c r="Q900" s="130">
        <v>0</v>
      </c>
      <c r="R900" s="130">
        <v>0</v>
      </c>
      <c r="S900" s="130">
        <f t="shared" ref="S900:S901" si="310">P900-Q900-R900</f>
        <v>4020786</v>
      </c>
      <c r="T900" s="130">
        <f t="shared" si="260"/>
        <v>4073.744680851064</v>
      </c>
      <c r="U900" s="130">
        <v>4716.3163120567378</v>
      </c>
    </row>
    <row r="901" spans="1:21" s="64" customFormat="1" ht="36" customHeight="1" x14ac:dyDescent="0.9">
      <c r="A901" s="64">
        <v>1</v>
      </c>
      <c r="B901" s="96">
        <f>SUBTOTAL(103,$A$561:A901)</f>
        <v>294</v>
      </c>
      <c r="C901" s="94" t="s">
        <v>96</v>
      </c>
      <c r="D901" s="138">
        <v>1971</v>
      </c>
      <c r="E901" s="138"/>
      <c r="F901" s="167" t="s">
        <v>273</v>
      </c>
      <c r="G901" s="138">
        <v>5</v>
      </c>
      <c r="H901" s="138">
        <v>4</v>
      </c>
      <c r="I901" s="129">
        <v>3414.98</v>
      </c>
      <c r="J901" s="129">
        <v>2878.58</v>
      </c>
      <c r="K901" s="129">
        <v>2564.1999999999998</v>
      </c>
      <c r="L901" s="139">
        <v>115</v>
      </c>
      <c r="M901" s="138" t="s">
        <v>271</v>
      </c>
      <c r="N901" s="138" t="s">
        <v>275</v>
      </c>
      <c r="O901" s="136" t="s">
        <v>286</v>
      </c>
      <c r="P901" s="130">
        <v>5002484.3999999994</v>
      </c>
      <c r="Q901" s="130">
        <v>0</v>
      </c>
      <c r="R901" s="130">
        <v>0</v>
      </c>
      <c r="S901" s="130">
        <f t="shared" si="310"/>
        <v>5002484.3999999994</v>
      </c>
      <c r="T901" s="130">
        <f t="shared" si="260"/>
        <v>1464.8649186818077</v>
      </c>
      <c r="U901" s="130">
        <v>1695.9252118606844</v>
      </c>
    </row>
    <row r="902" spans="1:21" s="64" customFormat="1" ht="36" customHeight="1" x14ac:dyDescent="0.9">
      <c r="B902" s="94" t="s">
        <v>898</v>
      </c>
      <c r="C902" s="94"/>
      <c r="D902" s="138" t="s">
        <v>934</v>
      </c>
      <c r="E902" s="138" t="s">
        <v>934</v>
      </c>
      <c r="F902" s="138" t="s">
        <v>934</v>
      </c>
      <c r="G902" s="138" t="s">
        <v>934</v>
      </c>
      <c r="H902" s="138" t="s">
        <v>934</v>
      </c>
      <c r="I902" s="129">
        <f>I903</f>
        <v>708.1</v>
      </c>
      <c r="J902" s="129">
        <f t="shared" ref="J902:L902" si="311">J903</f>
        <v>650.9</v>
      </c>
      <c r="K902" s="129">
        <f t="shared" si="311"/>
        <v>650.9</v>
      </c>
      <c r="L902" s="139">
        <f t="shared" si="311"/>
        <v>43</v>
      </c>
      <c r="M902" s="138" t="s">
        <v>934</v>
      </c>
      <c r="N902" s="138" t="s">
        <v>934</v>
      </c>
      <c r="O902" s="136" t="s">
        <v>934</v>
      </c>
      <c r="P902" s="130">
        <v>3080862</v>
      </c>
      <c r="Q902" s="130">
        <f t="shared" ref="Q902:S902" si="312">Q903</f>
        <v>0</v>
      </c>
      <c r="R902" s="130">
        <f t="shared" si="312"/>
        <v>0</v>
      </c>
      <c r="S902" s="130">
        <f t="shared" si="312"/>
        <v>3080862</v>
      </c>
      <c r="T902" s="130">
        <f t="shared" si="260"/>
        <v>4350.8854681542152</v>
      </c>
      <c r="U902" s="130">
        <f>U903</f>
        <v>5037.1718683801719</v>
      </c>
    </row>
    <row r="903" spans="1:21" s="64" customFormat="1" ht="36" customHeight="1" x14ac:dyDescent="0.9">
      <c r="A903" s="64">
        <v>1</v>
      </c>
      <c r="B903" s="96">
        <f>SUBTOTAL(103,$A$561:A903)</f>
        <v>295</v>
      </c>
      <c r="C903" s="94" t="s">
        <v>98</v>
      </c>
      <c r="D903" s="138">
        <v>1969</v>
      </c>
      <c r="E903" s="138"/>
      <c r="F903" s="167" t="s">
        <v>273</v>
      </c>
      <c r="G903" s="138">
        <v>2</v>
      </c>
      <c r="H903" s="138">
        <v>2</v>
      </c>
      <c r="I903" s="129">
        <v>708.1</v>
      </c>
      <c r="J903" s="129">
        <v>650.9</v>
      </c>
      <c r="K903" s="129">
        <v>650.9</v>
      </c>
      <c r="L903" s="139">
        <v>43</v>
      </c>
      <c r="M903" s="138" t="s">
        <v>271</v>
      </c>
      <c r="N903" s="138" t="s">
        <v>275</v>
      </c>
      <c r="O903" s="136" t="s">
        <v>1056</v>
      </c>
      <c r="P903" s="130">
        <v>3080862</v>
      </c>
      <c r="Q903" s="130">
        <v>0</v>
      </c>
      <c r="R903" s="130">
        <v>0</v>
      </c>
      <c r="S903" s="130">
        <f>P903-Q903-R903</f>
        <v>3080862</v>
      </c>
      <c r="T903" s="130">
        <f t="shared" si="260"/>
        <v>4350.8854681542152</v>
      </c>
      <c r="U903" s="130">
        <v>5037.1718683801719</v>
      </c>
    </row>
    <row r="904" spans="1:21" s="64" customFormat="1" ht="36" customHeight="1" x14ac:dyDescent="0.9">
      <c r="B904" s="94" t="s">
        <v>922</v>
      </c>
      <c r="C904" s="94"/>
      <c r="D904" s="138" t="s">
        <v>934</v>
      </c>
      <c r="E904" s="138" t="s">
        <v>934</v>
      </c>
      <c r="F904" s="138" t="s">
        <v>934</v>
      </c>
      <c r="G904" s="138" t="s">
        <v>934</v>
      </c>
      <c r="H904" s="138" t="s">
        <v>934</v>
      </c>
      <c r="I904" s="129">
        <f>I905</f>
        <v>788.3</v>
      </c>
      <c r="J904" s="129">
        <f t="shared" ref="J904:L904" si="313">J905</f>
        <v>726.9</v>
      </c>
      <c r="K904" s="129">
        <f t="shared" si="313"/>
        <v>726.9</v>
      </c>
      <c r="L904" s="139">
        <f t="shared" si="313"/>
        <v>20</v>
      </c>
      <c r="M904" s="138" t="s">
        <v>934</v>
      </c>
      <c r="N904" s="138" t="s">
        <v>934</v>
      </c>
      <c r="O904" s="136" t="s">
        <v>934</v>
      </c>
      <c r="P904" s="130">
        <v>3655260</v>
      </c>
      <c r="Q904" s="130">
        <f t="shared" ref="Q904:S904" si="314">Q905</f>
        <v>0</v>
      </c>
      <c r="R904" s="130">
        <f t="shared" si="314"/>
        <v>0</v>
      </c>
      <c r="S904" s="130">
        <f t="shared" si="314"/>
        <v>3655260</v>
      </c>
      <c r="T904" s="130">
        <f t="shared" si="260"/>
        <v>4636.8895090701508</v>
      </c>
      <c r="U904" s="130">
        <f>U905</f>
        <v>5368.2887225675504</v>
      </c>
    </row>
    <row r="905" spans="1:21" s="64" customFormat="1" ht="36" customHeight="1" x14ac:dyDescent="0.9">
      <c r="A905" s="64">
        <v>1</v>
      </c>
      <c r="B905" s="96">
        <f>SUBTOTAL(103,$A$561:A905)</f>
        <v>296</v>
      </c>
      <c r="C905" s="94" t="s">
        <v>99</v>
      </c>
      <c r="D905" s="138">
        <v>1972</v>
      </c>
      <c r="E905" s="138"/>
      <c r="F905" s="167" t="s">
        <v>273</v>
      </c>
      <c r="G905" s="138">
        <v>2</v>
      </c>
      <c r="H905" s="138">
        <v>2</v>
      </c>
      <c r="I905" s="129">
        <v>788.3</v>
      </c>
      <c r="J905" s="129">
        <v>726.9</v>
      </c>
      <c r="K905" s="129">
        <v>726.9</v>
      </c>
      <c r="L905" s="139">
        <v>20</v>
      </c>
      <c r="M905" s="138" t="s">
        <v>271</v>
      </c>
      <c r="N905" s="138" t="s">
        <v>289</v>
      </c>
      <c r="O905" s="136" t="s">
        <v>274</v>
      </c>
      <c r="P905" s="130">
        <v>3655260</v>
      </c>
      <c r="Q905" s="130">
        <v>0</v>
      </c>
      <c r="R905" s="130">
        <v>0</v>
      </c>
      <c r="S905" s="130">
        <f>P905-Q905-R905</f>
        <v>3655260</v>
      </c>
      <c r="T905" s="130">
        <f t="shared" si="260"/>
        <v>4636.8895090701508</v>
      </c>
      <c r="U905" s="130">
        <v>5368.2887225675504</v>
      </c>
    </row>
    <row r="906" spans="1:21" s="64" customFormat="1" ht="36" customHeight="1" x14ac:dyDescent="0.9">
      <c r="B906" s="94" t="s">
        <v>900</v>
      </c>
      <c r="C906" s="94"/>
      <c r="D906" s="138" t="s">
        <v>934</v>
      </c>
      <c r="E906" s="138" t="s">
        <v>934</v>
      </c>
      <c r="F906" s="138" t="s">
        <v>934</v>
      </c>
      <c r="G906" s="138" t="s">
        <v>934</v>
      </c>
      <c r="H906" s="138" t="s">
        <v>934</v>
      </c>
      <c r="I906" s="129">
        <f>I907</f>
        <v>707.1</v>
      </c>
      <c r="J906" s="129">
        <f t="shared" ref="J906:L906" si="315">J907</f>
        <v>649.5</v>
      </c>
      <c r="K906" s="129">
        <f t="shared" si="315"/>
        <v>649.5</v>
      </c>
      <c r="L906" s="139">
        <f t="shared" si="315"/>
        <v>32</v>
      </c>
      <c r="M906" s="138" t="s">
        <v>934</v>
      </c>
      <c r="N906" s="138" t="s">
        <v>934</v>
      </c>
      <c r="O906" s="136" t="s">
        <v>934</v>
      </c>
      <c r="P906" s="130">
        <v>3080862</v>
      </c>
      <c r="Q906" s="130">
        <f t="shared" ref="Q906:S906" si="316">Q907</f>
        <v>0</v>
      </c>
      <c r="R906" s="130">
        <f t="shared" si="316"/>
        <v>0</v>
      </c>
      <c r="S906" s="130">
        <f t="shared" si="316"/>
        <v>3080862</v>
      </c>
      <c r="T906" s="130">
        <f t="shared" si="260"/>
        <v>4357.0386084005086</v>
      </c>
      <c r="U906" s="130">
        <f>U907</f>
        <v>5044.2955734690986</v>
      </c>
    </row>
    <row r="907" spans="1:21" s="64" customFormat="1" ht="36" customHeight="1" x14ac:dyDescent="0.9">
      <c r="A907" s="64">
        <v>1</v>
      </c>
      <c r="B907" s="96">
        <f>SUBTOTAL(103,$A$561:A907)</f>
        <v>297</v>
      </c>
      <c r="C907" s="94" t="s">
        <v>100</v>
      </c>
      <c r="D907" s="138">
        <v>1971</v>
      </c>
      <c r="E907" s="138"/>
      <c r="F907" s="167" t="s">
        <v>273</v>
      </c>
      <c r="G907" s="138">
        <v>2</v>
      </c>
      <c r="H907" s="138">
        <v>2</v>
      </c>
      <c r="I907" s="129">
        <v>707.1</v>
      </c>
      <c r="J907" s="129">
        <v>649.5</v>
      </c>
      <c r="K907" s="129">
        <v>649.5</v>
      </c>
      <c r="L907" s="139">
        <v>32</v>
      </c>
      <c r="M907" s="138" t="s">
        <v>271</v>
      </c>
      <c r="N907" s="138" t="s">
        <v>275</v>
      </c>
      <c r="O907" s="136" t="s">
        <v>288</v>
      </c>
      <c r="P907" s="130">
        <v>3080862</v>
      </c>
      <c r="Q907" s="130">
        <v>0</v>
      </c>
      <c r="R907" s="130">
        <v>0</v>
      </c>
      <c r="S907" s="130">
        <f>P907-Q907-R907</f>
        <v>3080862</v>
      </c>
      <c r="T907" s="130">
        <f t="shared" si="260"/>
        <v>4357.0386084005086</v>
      </c>
      <c r="U907" s="130">
        <v>5044.2955734690986</v>
      </c>
    </row>
    <row r="908" spans="1:21" s="64" customFormat="1" ht="36" customHeight="1" x14ac:dyDescent="0.9">
      <c r="B908" s="94" t="s">
        <v>901</v>
      </c>
      <c r="C908" s="126"/>
      <c r="D908" s="138" t="s">
        <v>934</v>
      </c>
      <c r="E908" s="138" t="s">
        <v>934</v>
      </c>
      <c r="F908" s="138" t="s">
        <v>934</v>
      </c>
      <c r="G908" s="138" t="s">
        <v>934</v>
      </c>
      <c r="H908" s="138" t="s">
        <v>934</v>
      </c>
      <c r="I908" s="129">
        <f>SUM(I909:I911)</f>
        <v>2386.1999999999998</v>
      </c>
      <c r="J908" s="129">
        <f t="shared" ref="J908:L908" si="317">SUM(J909:J911)</f>
        <v>1601.9</v>
      </c>
      <c r="K908" s="129">
        <f t="shared" si="317"/>
        <v>1428.6999999999998</v>
      </c>
      <c r="L908" s="139">
        <f t="shared" si="317"/>
        <v>70</v>
      </c>
      <c r="M908" s="138" t="s">
        <v>934</v>
      </c>
      <c r="N908" s="138" t="s">
        <v>934</v>
      </c>
      <c r="O908" s="136" t="s">
        <v>934</v>
      </c>
      <c r="P908" s="130">
        <v>7774419.2400000002</v>
      </c>
      <c r="Q908" s="130">
        <f t="shared" ref="Q908:S908" si="318">Q909+Q910+Q911</f>
        <v>0</v>
      </c>
      <c r="R908" s="130">
        <f t="shared" si="318"/>
        <v>0</v>
      </c>
      <c r="S908" s="130">
        <f t="shared" si="318"/>
        <v>7774419.2400000002</v>
      </c>
      <c r="T908" s="130">
        <f t="shared" si="260"/>
        <v>3258.0752828765403</v>
      </c>
      <c r="U908" s="130">
        <f>MAX(U909:U911)</f>
        <v>8237.201709858402</v>
      </c>
    </row>
    <row r="909" spans="1:21" s="64" customFormat="1" ht="36" customHeight="1" x14ac:dyDescent="0.9">
      <c r="A909" s="64">
        <v>1</v>
      </c>
      <c r="B909" s="96">
        <f>SUBTOTAL(103,$A$561:A909)</f>
        <v>298</v>
      </c>
      <c r="C909" s="94" t="s">
        <v>193</v>
      </c>
      <c r="D909" s="138" t="s">
        <v>317</v>
      </c>
      <c r="E909" s="138"/>
      <c r="F909" s="167" t="s">
        <v>273</v>
      </c>
      <c r="G909" s="138" t="s">
        <v>311</v>
      </c>
      <c r="H909" s="138" t="s">
        <v>311</v>
      </c>
      <c r="I909" s="129">
        <v>953.3</v>
      </c>
      <c r="J909" s="129">
        <v>579.1</v>
      </c>
      <c r="K909" s="129">
        <v>542.29999999999995</v>
      </c>
      <c r="L909" s="139">
        <v>23</v>
      </c>
      <c r="M909" s="138" t="s">
        <v>271</v>
      </c>
      <c r="N909" s="138" t="s">
        <v>272</v>
      </c>
      <c r="O909" s="136" t="s">
        <v>274</v>
      </c>
      <c r="P909" s="130">
        <v>3549600</v>
      </c>
      <c r="Q909" s="130">
        <v>0</v>
      </c>
      <c r="R909" s="130">
        <v>0</v>
      </c>
      <c r="S909" s="130">
        <f t="shared" ref="S909:S911" si="319">P909-Q909-R909</f>
        <v>3549600</v>
      </c>
      <c r="T909" s="130">
        <f t="shared" si="260"/>
        <v>3723.4868352040285</v>
      </c>
      <c r="U909" s="130">
        <v>4413.7628868142247</v>
      </c>
    </row>
    <row r="910" spans="1:21" s="64" customFormat="1" ht="36" customHeight="1" x14ac:dyDescent="0.9">
      <c r="A910" s="64">
        <v>1</v>
      </c>
      <c r="B910" s="96">
        <f>SUBTOTAL(103,$A$561:A910)</f>
        <v>299</v>
      </c>
      <c r="C910" s="94" t="s">
        <v>194</v>
      </c>
      <c r="D910" s="138" t="s">
        <v>310</v>
      </c>
      <c r="E910" s="138"/>
      <c r="F910" s="167" t="s">
        <v>273</v>
      </c>
      <c r="G910" s="138" t="s">
        <v>311</v>
      </c>
      <c r="H910" s="138" t="s">
        <v>316</v>
      </c>
      <c r="I910" s="129">
        <v>374.3</v>
      </c>
      <c r="J910" s="129">
        <v>369</v>
      </c>
      <c r="K910" s="129">
        <v>278.10000000000002</v>
      </c>
      <c r="L910" s="139">
        <v>16</v>
      </c>
      <c r="M910" s="138" t="s">
        <v>271</v>
      </c>
      <c r="N910" s="138" t="s">
        <v>272</v>
      </c>
      <c r="O910" s="136" t="s">
        <v>274</v>
      </c>
      <c r="P910" s="130">
        <v>2601000</v>
      </c>
      <c r="Q910" s="130">
        <v>0</v>
      </c>
      <c r="R910" s="130">
        <v>0</v>
      </c>
      <c r="S910" s="130">
        <f t="shared" si="319"/>
        <v>2601000</v>
      </c>
      <c r="T910" s="130">
        <f t="shared" ref="T910:T973" si="320">P910/I910</f>
        <v>6948.9714133048356</v>
      </c>
      <c r="U910" s="130">
        <v>8237.201709858402</v>
      </c>
    </row>
    <row r="911" spans="1:21" s="64" customFormat="1" ht="36" customHeight="1" x14ac:dyDescent="0.9">
      <c r="A911" s="64">
        <v>1</v>
      </c>
      <c r="B911" s="96">
        <f>SUBTOTAL(103,$A$561:A911)</f>
        <v>300</v>
      </c>
      <c r="C911" s="94" t="s">
        <v>195</v>
      </c>
      <c r="D911" s="138" t="s">
        <v>315</v>
      </c>
      <c r="E911" s="138"/>
      <c r="F911" s="167" t="s">
        <v>326</v>
      </c>
      <c r="G911" s="138" t="s">
        <v>311</v>
      </c>
      <c r="H911" s="138" t="s">
        <v>312</v>
      </c>
      <c r="I911" s="129">
        <v>1058.5999999999999</v>
      </c>
      <c r="J911" s="129">
        <v>653.79999999999995</v>
      </c>
      <c r="K911" s="129">
        <v>608.29999999999995</v>
      </c>
      <c r="L911" s="139">
        <v>31</v>
      </c>
      <c r="M911" s="138" t="s">
        <v>271</v>
      </c>
      <c r="N911" s="138" t="s">
        <v>272</v>
      </c>
      <c r="O911" s="136" t="s">
        <v>274</v>
      </c>
      <c r="P911" s="130">
        <v>1623819.24</v>
      </c>
      <c r="Q911" s="130">
        <v>0</v>
      </c>
      <c r="R911" s="130">
        <v>0</v>
      </c>
      <c r="S911" s="130">
        <f t="shared" si="319"/>
        <v>1623819.24</v>
      </c>
      <c r="T911" s="130">
        <f t="shared" si="320"/>
        <v>1533.930889854525</v>
      </c>
      <c r="U911" s="130">
        <v>3605.5883147553377</v>
      </c>
    </row>
    <row r="912" spans="1:21" s="64" customFormat="1" ht="36" customHeight="1" x14ac:dyDescent="0.9">
      <c r="B912" s="94" t="s">
        <v>903</v>
      </c>
      <c r="C912" s="94"/>
      <c r="D912" s="138" t="s">
        <v>934</v>
      </c>
      <c r="E912" s="138" t="s">
        <v>934</v>
      </c>
      <c r="F912" s="138" t="s">
        <v>934</v>
      </c>
      <c r="G912" s="138" t="s">
        <v>934</v>
      </c>
      <c r="H912" s="138" t="s">
        <v>934</v>
      </c>
      <c r="I912" s="129">
        <f>I913</f>
        <v>834.7</v>
      </c>
      <c r="J912" s="129">
        <f t="shared" ref="J912:L912" si="321">J913</f>
        <v>476.3</v>
      </c>
      <c r="K912" s="129">
        <f t="shared" si="321"/>
        <v>476.3</v>
      </c>
      <c r="L912" s="139">
        <f t="shared" si="321"/>
        <v>54</v>
      </c>
      <c r="M912" s="138" t="s">
        <v>934</v>
      </c>
      <c r="N912" s="138" t="s">
        <v>934</v>
      </c>
      <c r="O912" s="136" t="s">
        <v>934</v>
      </c>
      <c r="P912" s="130">
        <v>4275483</v>
      </c>
      <c r="Q912" s="130">
        <f t="shared" ref="Q912:S912" si="322">Q913</f>
        <v>0</v>
      </c>
      <c r="R912" s="130">
        <f t="shared" si="322"/>
        <v>0</v>
      </c>
      <c r="S912" s="130">
        <f t="shared" si="322"/>
        <v>4275483</v>
      </c>
      <c r="T912" s="130">
        <f t="shared" si="320"/>
        <v>5122.1792260692464</v>
      </c>
      <c r="U912" s="130">
        <f>U913</f>
        <v>6071.7509066730563</v>
      </c>
    </row>
    <row r="913" spans="1:21" s="64" customFormat="1" ht="36" customHeight="1" x14ac:dyDescent="0.9">
      <c r="A913" s="64">
        <v>1</v>
      </c>
      <c r="B913" s="96">
        <f>SUBTOTAL(103,$A$561:A913)</f>
        <v>301</v>
      </c>
      <c r="C913" s="94" t="s">
        <v>197</v>
      </c>
      <c r="D913" s="138" t="s">
        <v>318</v>
      </c>
      <c r="E913" s="138"/>
      <c r="F913" s="167" t="s">
        <v>319</v>
      </c>
      <c r="G913" s="138" t="s">
        <v>311</v>
      </c>
      <c r="H913" s="138" t="s">
        <v>320</v>
      </c>
      <c r="I913" s="129">
        <v>834.7</v>
      </c>
      <c r="J913" s="129">
        <v>476.3</v>
      </c>
      <c r="K913" s="129">
        <v>476.3</v>
      </c>
      <c r="L913" s="139">
        <v>54</v>
      </c>
      <c r="M913" s="138" t="s">
        <v>271</v>
      </c>
      <c r="N913" s="138" t="s">
        <v>272</v>
      </c>
      <c r="O913" s="136" t="s">
        <v>274</v>
      </c>
      <c r="P913" s="130">
        <v>4275483</v>
      </c>
      <c r="Q913" s="130">
        <v>0</v>
      </c>
      <c r="R913" s="130">
        <v>0</v>
      </c>
      <c r="S913" s="130">
        <f>P913-Q913-R913</f>
        <v>4275483</v>
      </c>
      <c r="T913" s="130">
        <f t="shared" si="320"/>
        <v>5122.1792260692464</v>
      </c>
      <c r="U913" s="130">
        <v>6071.7509066730563</v>
      </c>
    </row>
    <row r="914" spans="1:21" s="64" customFormat="1" ht="36" customHeight="1" x14ac:dyDescent="0.9">
      <c r="B914" s="94" t="s">
        <v>905</v>
      </c>
      <c r="C914" s="126"/>
      <c r="D914" s="138" t="s">
        <v>934</v>
      </c>
      <c r="E914" s="138" t="s">
        <v>934</v>
      </c>
      <c r="F914" s="138" t="s">
        <v>934</v>
      </c>
      <c r="G914" s="138" t="s">
        <v>934</v>
      </c>
      <c r="H914" s="138" t="s">
        <v>934</v>
      </c>
      <c r="I914" s="129">
        <f>I915+I916</f>
        <v>2424.8000000000002</v>
      </c>
      <c r="J914" s="129">
        <f t="shared" ref="J914:L914" si="323">J915+J916</f>
        <v>2129.6</v>
      </c>
      <c r="K914" s="129">
        <f t="shared" si="323"/>
        <v>1714.8000000000002</v>
      </c>
      <c r="L914" s="139">
        <f t="shared" si="323"/>
        <v>86</v>
      </c>
      <c r="M914" s="138" t="s">
        <v>934</v>
      </c>
      <c r="N914" s="138" t="s">
        <v>934</v>
      </c>
      <c r="O914" s="136" t="s">
        <v>934</v>
      </c>
      <c r="P914" s="130">
        <v>9113700</v>
      </c>
      <c r="Q914" s="130">
        <f t="shared" ref="Q914:S914" si="324">Q915+Q916</f>
        <v>0</v>
      </c>
      <c r="R914" s="130">
        <f t="shared" si="324"/>
        <v>0</v>
      </c>
      <c r="S914" s="130">
        <f t="shared" si="324"/>
        <v>9113700</v>
      </c>
      <c r="T914" s="130">
        <f t="shared" si="320"/>
        <v>3758.5367865390958</v>
      </c>
      <c r="U914" s="130">
        <f>MAX(U915:U916)</f>
        <v>4709.9101387406618</v>
      </c>
    </row>
    <row r="915" spans="1:21" s="64" customFormat="1" ht="36" customHeight="1" x14ac:dyDescent="0.9">
      <c r="A915" s="64">
        <v>1</v>
      </c>
      <c r="B915" s="96">
        <f>SUBTOTAL(103,$A$561:A915)</f>
        <v>302</v>
      </c>
      <c r="C915" s="94" t="s">
        <v>216</v>
      </c>
      <c r="D915" s="138">
        <v>1938</v>
      </c>
      <c r="E915" s="138"/>
      <c r="F915" s="167" t="s">
        <v>273</v>
      </c>
      <c r="G915" s="138">
        <v>3</v>
      </c>
      <c r="H915" s="138">
        <v>4</v>
      </c>
      <c r="I915" s="129">
        <v>1675.2</v>
      </c>
      <c r="J915" s="129">
        <v>1444.2</v>
      </c>
      <c r="K915" s="129">
        <v>1029.4000000000001</v>
      </c>
      <c r="L915" s="139">
        <v>57</v>
      </c>
      <c r="M915" s="138" t="s">
        <v>271</v>
      </c>
      <c r="N915" s="138" t="s">
        <v>272</v>
      </c>
      <c r="O915" s="136" t="s">
        <v>274</v>
      </c>
      <c r="P915" s="130">
        <v>6135300</v>
      </c>
      <c r="Q915" s="130">
        <v>0</v>
      </c>
      <c r="R915" s="130">
        <v>0</v>
      </c>
      <c r="S915" s="130">
        <f t="shared" ref="S915:S916" si="325">P915-Q915-R915</f>
        <v>6135300</v>
      </c>
      <c r="T915" s="130">
        <f t="shared" si="320"/>
        <v>3662.4283667621776</v>
      </c>
      <c r="U915" s="130">
        <v>4341.385136103152</v>
      </c>
    </row>
    <row r="916" spans="1:21" s="64" customFormat="1" ht="36" customHeight="1" x14ac:dyDescent="0.9">
      <c r="A916" s="64">
        <v>1</v>
      </c>
      <c r="B916" s="96">
        <f>SUBTOTAL(103,$A$561:A916)</f>
        <v>303</v>
      </c>
      <c r="C916" s="94" t="s">
        <v>217</v>
      </c>
      <c r="D916" s="138">
        <v>1974</v>
      </c>
      <c r="E916" s="138"/>
      <c r="F916" s="167" t="s">
        <v>273</v>
      </c>
      <c r="G916" s="138">
        <v>2</v>
      </c>
      <c r="H916" s="138">
        <v>2</v>
      </c>
      <c r="I916" s="129">
        <v>749.6</v>
      </c>
      <c r="J916" s="129">
        <v>685.4</v>
      </c>
      <c r="K916" s="129">
        <v>685.4</v>
      </c>
      <c r="L916" s="139">
        <v>29</v>
      </c>
      <c r="M916" s="138" t="s">
        <v>271</v>
      </c>
      <c r="N916" s="138" t="s">
        <v>275</v>
      </c>
      <c r="O916" s="136" t="s">
        <v>340</v>
      </c>
      <c r="P916" s="130">
        <v>2978400</v>
      </c>
      <c r="Q916" s="130">
        <v>0</v>
      </c>
      <c r="R916" s="130">
        <v>0</v>
      </c>
      <c r="S916" s="130">
        <f t="shared" si="325"/>
        <v>2978400</v>
      </c>
      <c r="T916" s="130">
        <f t="shared" si="320"/>
        <v>3973.3191035218783</v>
      </c>
      <c r="U916" s="130">
        <v>4709.9101387406618</v>
      </c>
    </row>
    <row r="917" spans="1:21" s="64" customFormat="1" ht="36" customHeight="1" x14ac:dyDescent="0.9">
      <c r="B917" s="94" t="s">
        <v>906</v>
      </c>
      <c r="C917" s="94"/>
      <c r="D917" s="138" t="s">
        <v>934</v>
      </c>
      <c r="E917" s="138" t="s">
        <v>934</v>
      </c>
      <c r="F917" s="138" t="s">
        <v>934</v>
      </c>
      <c r="G917" s="138" t="s">
        <v>934</v>
      </c>
      <c r="H917" s="138" t="s">
        <v>934</v>
      </c>
      <c r="I917" s="129">
        <f>I918</f>
        <v>813.6</v>
      </c>
      <c r="J917" s="129">
        <f t="shared" ref="J917:L917" si="326">J918</f>
        <v>752.3</v>
      </c>
      <c r="K917" s="129">
        <f t="shared" si="326"/>
        <v>752.3</v>
      </c>
      <c r="L917" s="139">
        <f t="shared" si="326"/>
        <v>16</v>
      </c>
      <c r="M917" s="138" t="s">
        <v>934</v>
      </c>
      <c r="N917" s="138" t="s">
        <v>934</v>
      </c>
      <c r="O917" s="136" t="s">
        <v>934</v>
      </c>
      <c r="P917" s="130">
        <v>3498600</v>
      </c>
      <c r="Q917" s="130">
        <f t="shared" ref="Q917:S917" si="327">Q918</f>
        <v>0</v>
      </c>
      <c r="R917" s="130">
        <f t="shared" si="327"/>
        <v>0</v>
      </c>
      <c r="S917" s="130">
        <f t="shared" si="327"/>
        <v>3498600</v>
      </c>
      <c r="T917" s="130">
        <f t="shared" si="320"/>
        <v>4300.1474926253686</v>
      </c>
      <c r="U917" s="130">
        <f>U918</f>
        <v>5097.3273844641099</v>
      </c>
    </row>
    <row r="918" spans="1:21" s="64" customFormat="1" ht="36" customHeight="1" x14ac:dyDescent="0.9">
      <c r="A918" s="64">
        <v>1</v>
      </c>
      <c r="B918" s="96">
        <f>SUBTOTAL(103,$A$561:A918)</f>
        <v>304</v>
      </c>
      <c r="C918" s="94" t="s">
        <v>229</v>
      </c>
      <c r="D918" s="138">
        <v>1973</v>
      </c>
      <c r="E918" s="138"/>
      <c r="F918" s="167" t="s">
        <v>273</v>
      </c>
      <c r="G918" s="138">
        <v>2</v>
      </c>
      <c r="H918" s="138">
        <v>2</v>
      </c>
      <c r="I918" s="129">
        <v>813.6</v>
      </c>
      <c r="J918" s="129">
        <v>752.3</v>
      </c>
      <c r="K918" s="129">
        <v>752.3</v>
      </c>
      <c r="L918" s="139">
        <v>16</v>
      </c>
      <c r="M918" s="138" t="s">
        <v>271</v>
      </c>
      <c r="N918" s="138" t="s">
        <v>272</v>
      </c>
      <c r="O918" s="136" t="s">
        <v>274</v>
      </c>
      <c r="P918" s="130">
        <v>3498600</v>
      </c>
      <c r="Q918" s="130">
        <v>0</v>
      </c>
      <c r="R918" s="130">
        <v>0</v>
      </c>
      <c r="S918" s="130">
        <f>P918-Q918-R918</f>
        <v>3498600</v>
      </c>
      <c r="T918" s="130">
        <f t="shared" si="320"/>
        <v>4300.1474926253686</v>
      </c>
      <c r="U918" s="130">
        <v>5097.3273844641099</v>
      </c>
    </row>
    <row r="919" spans="1:21" s="64" customFormat="1" ht="36" customHeight="1" x14ac:dyDescent="0.9">
      <c r="B919" s="94" t="s">
        <v>908</v>
      </c>
      <c r="C919" s="94"/>
      <c r="D919" s="138" t="s">
        <v>934</v>
      </c>
      <c r="E919" s="138" t="s">
        <v>934</v>
      </c>
      <c r="F919" s="138" t="s">
        <v>934</v>
      </c>
      <c r="G919" s="138" t="s">
        <v>934</v>
      </c>
      <c r="H919" s="138" t="s">
        <v>934</v>
      </c>
      <c r="I919" s="129">
        <f>I920</f>
        <v>791.9</v>
      </c>
      <c r="J919" s="129">
        <f t="shared" ref="J919:L919" si="328">J920</f>
        <v>736.9</v>
      </c>
      <c r="K919" s="129">
        <f t="shared" si="328"/>
        <v>695.3</v>
      </c>
      <c r="L919" s="139">
        <f t="shared" si="328"/>
        <v>22</v>
      </c>
      <c r="M919" s="138" t="s">
        <v>934</v>
      </c>
      <c r="N919" s="138" t="s">
        <v>934</v>
      </c>
      <c r="O919" s="136" t="s">
        <v>934</v>
      </c>
      <c r="P919" s="130">
        <v>3230340</v>
      </c>
      <c r="Q919" s="130">
        <f t="shared" ref="Q919:S919" si="329">Q920</f>
        <v>0</v>
      </c>
      <c r="R919" s="130">
        <f t="shared" si="329"/>
        <v>0</v>
      </c>
      <c r="S919" s="130">
        <f t="shared" si="329"/>
        <v>3230340</v>
      </c>
      <c r="T919" s="130">
        <f t="shared" si="320"/>
        <v>4079.2271751483772</v>
      </c>
      <c r="U919" s="130">
        <f>U920</f>
        <v>4835.4519055436294</v>
      </c>
    </row>
    <row r="920" spans="1:21" s="64" customFormat="1" ht="36" customHeight="1" x14ac:dyDescent="0.9">
      <c r="A920" s="64">
        <v>1</v>
      </c>
      <c r="B920" s="96">
        <f>SUBTOTAL(103,$A$561:A920)</f>
        <v>305</v>
      </c>
      <c r="C920" s="94" t="s">
        <v>223</v>
      </c>
      <c r="D920" s="138">
        <v>1979</v>
      </c>
      <c r="E920" s="138"/>
      <c r="F920" s="167" t="s">
        <v>273</v>
      </c>
      <c r="G920" s="138">
        <v>2</v>
      </c>
      <c r="H920" s="138">
        <v>2</v>
      </c>
      <c r="I920" s="129">
        <v>791.9</v>
      </c>
      <c r="J920" s="129">
        <v>736.9</v>
      </c>
      <c r="K920" s="129">
        <v>695.3</v>
      </c>
      <c r="L920" s="139">
        <v>22</v>
      </c>
      <c r="M920" s="138" t="s">
        <v>271</v>
      </c>
      <c r="N920" s="138" t="s">
        <v>272</v>
      </c>
      <c r="O920" s="136" t="s">
        <v>274</v>
      </c>
      <c r="P920" s="130">
        <v>3230340</v>
      </c>
      <c r="Q920" s="130">
        <v>0</v>
      </c>
      <c r="R920" s="130">
        <v>0</v>
      </c>
      <c r="S920" s="130">
        <f>P920-Q920-R920</f>
        <v>3230340</v>
      </c>
      <c r="T920" s="130">
        <f t="shared" si="320"/>
        <v>4079.2271751483772</v>
      </c>
      <c r="U920" s="130">
        <v>4835.4519055436294</v>
      </c>
    </row>
    <row r="921" spans="1:21" s="64" customFormat="1" ht="36" customHeight="1" x14ac:dyDescent="0.9">
      <c r="B921" s="94" t="s">
        <v>798</v>
      </c>
      <c r="C921" s="95"/>
      <c r="D921" s="138" t="s">
        <v>934</v>
      </c>
      <c r="E921" s="138" t="s">
        <v>934</v>
      </c>
      <c r="F921" s="138" t="s">
        <v>934</v>
      </c>
      <c r="G921" s="138" t="s">
        <v>934</v>
      </c>
      <c r="H921" s="138" t="s">
        <v>934</v>
      </c>
      <c r="I921" s="129">
        <f>I922+I981+I996+I1024+I1036+I1039+I1048+I1052+I1055+I1058+I1060+I1062+I1065+I1067+I1069+I1077+I1080+I1082+I1084+I1086+I1088+I1091+I1093+I1095+I1097+I1104+I1107+I1111+I1114+I1116+I1120+I1122+I1124+I1126+I1128+I1130+I1132+I1136+I1138+I1140+I1142+I1146+I1148+I1150+I1152+I1155+I1158+I1162+I1167+I1170+I1172+I1174+I1177+I1181+I1183+I1185+I1187+I1191</f>
        <v>526307.17000000004</v>
      </c>
      <c r="J921" s="129">
        <f>J922+J981+J996+J1024+J1036+J1039+J1048+J1052+J1055+J1058+J1060+J1062+J1065+J1067+J1069+J1077+J1080+J1082+J1084+J1086+J1088+J1091+J1093+J1095+J1097+J1104+J1107+J1111+J1114+J1116+J1120+J1122+J1124+J1126+J1128+J1130+J1132+J1136+J1138+J1140+J1142+J1146+J1148+J1150+J1152+J1155+J1158+J1162+J1167+J1170+J1172+J1174+J1177+J1181+J1183+J1185+J1187+J1191</f>
        <v>423929.3899999999</v>
      </c>
      <c r="K921" s="129">
        <f>K922+K981+K996+K1024+K1036+K1039+K1048+K1052+K1055+K1058+K1060+K1062+K1065+K1067+K1069+K1077+K1080+K1082+K1084+K1086+K1088+K1091+K1093+K1095+K1097+K1104+K1107+K1111+K1114+K1116+K1120+K1122+K1124+K1126+K1128+K1130+K1132+K1136+K1138+K1140+K1142+K1146+K1148+K1150+K1152+K1155+K1158+K1162+K1167+K1170+K1172+K1174+K1177+K1181+K1183+K1185+K1187+K1191</f>
        <v>377829.40999999992</v>
      </c>
      <c r="L921" s="139">
        <f>L922+L981+L996+L1024+L1036+L1039+L1048+L1052+L1055+L1058+L1060+L1062+L1065+L1067+L1069+L1077+L1080+L1082+L1084+L1086+L1088+L1091+L1093+L1095+L1097+L1104+L1107+L1111+L1114+L1116+L1120+L1122+L1124+L1126+L1128+L1130+L1132+L1136+L1138+L1140+L1142+L1146+L1148+L1150+L1152+L1155+L1158+L1162+L1167+L1170+L1172+L1174+L1177+L1181+L1183+L1185+L1187+L1191</f>
        <v>20287</v>
      </c>
      <c r="M921" s="138" t="s">
        <v>934</v>
      </c>
      <c r="N921" s="138" t="s">
        <v>934</v>
      </c>
      <c r="O921" s="136" t="s">
        <v>934</v>
      </c>
      <c r="P921" s="129">
        <v>791169161.6500001</v>
      </c>
      <c r="Q921" s="129">
        <f>Q922+Q981+Q996+Q1024+Q1036+Q1039+Q1048+Q1052+Q1055+Q1058+Q1060+Q1062+Q1065+Q1067+Q1069+Q1077+Q1080+Q1082+Q1084+Q1086+Q1088+Q1091+Q1093+Q1095+Q1097+Q1104+Q1107+Q1111+Q1114+Q1116+Q1120+Q1122+Q1124+Q1126+Q1128+Q1130+Q1132+Q1136+Q1138+Q1140+Q1142+Q1146+Q1148+Q1150+Q1152+Q1155+Q1158+Q1162+Q1167+Q1170+Q1172+Q1174+Q1177+Q1181+Q1183+Q1185+Q1187+Q1191</f>
        <v>0</v>
      </c>
      <c r="R921" s="129">
        <f>R922+R981+R996+R1024+R1036+R1039+R1048+R1052+R1055+R1058+R1060+R1062+R1065+R1067+R1069+R1077+R1080+R1082+R1084+R1086+R1088+R1091+R1093+R1095+R1097+R1104+R1107+R1111+R1114+R1116+R1120+R1122+R1124+R1126+R1128+R1130+R1132+R1136+R1138+R1140+R1142+R1146+R1148+R1150+R1152+R1155+R1158+R1162+R1167+R1170+R1172+R1174+R1177+R1181+R1183+R1185+R1187+R1191</f>
        <v>1851570.68</v>
      </c>
      <c r="S921" s="129">
        <f>S922+S981+S996+S1024+S1036+S1039+S1048+S1052+S1055+S1058+S1060+S1062+S1065+S1067+S1069+S1077+S1080+S1082+S1084+S1086+S1088+S1091+S1093+S1095+S1097+S1104+S1107+S1111+S1114+S1116+S1120+S1122+S1124+S1126+S1128+S1130+S1132+S1136+S1138+S1140+S1142+S1146+S1148+S1150+S1152+S1155+S1158+S1162+S1167+S1170+S1172+S1174+S1177+S1181+S1183+S1185+S1187+S1191</f>
        <v>789317590.97000015</v>
      </c>
      <c r="T921" s="130">
        <f t="shared" si="320"/>
        <v>1503.2460257951645</v>
      </c>
      <c r="U921" s="130">
        <f>MAX(U922:U1192)</f>
        <v>18171.963277202074</v>
      </c>
    </row>
    <row r="922" spans="1:21" s="64" customFormat="1" ht="36" customHeight="1" x14ac:dyDescent="0.9">
      <c r="B922" s="94" t="s">
        <v>1159</v>
      </c>
      <c r="C922" s="126"/>
      <c r="D922" s="138" t="s">
        <v>934</v>
      </c>
      <c r="E922" s="138" t="s">
        <v>934</v>
      </c>
      <c r="F922" s="138" t="s">
        <v>934</v>
      </c>
      <c r="G922" s="138" t="s">
        <v>934</v>
      </c>
      <c r="H922" s="138" t="s">
        <v>934</v>
      </c>
      <c r="I922" s="129">
        <f>SUM(I923:I980)</f>
        <v>211691.09999999998</v>
      </c>
      <c r="J922" s="129">
        <f t="shared" ref="J922:L922" si="330">SUM(J923:J980)</f>
        <v>176962.87</v>
      </c>
      <c r="K922" s="129">
        <f t="shared" si="330"/>
        <v>153138.29999999996</v>
      </c>
      <c r="L922" s="139">
        <f t="shared" si="330"/>
        <v>8735</v>
      </c>
      <c r="M922" s="138" t="s">
        <v>934</v>
      </c>
      <c r="N922" s="138" t="s">
        <v>934</v>
      </c>
      <c r="O922" s="136" t="s">
        <v>934</v>
      </c>
      <c r="P922" s="130">
        <v>216853215.33000001</v>
      </c>
      <c r="Q922" s="130">
        <f t="shared" ref="Q922:S922" si="331">SUM(Q923:Q980)</f>
        <v>0</v>
      </c>
      <c r="R922" s="130">
        <f t="shared" si="331"/>
        <v>0</v>
      </c>
      <c r="S922" s="130">
        <f t="shared" si="331"/>
        <v>216853215.33000001</v>
      </c>
      <c r="T922" s="130">
        <f t="shared" si="320"/>
        <v>1024.3851315903221</v>
      </c>
      <c r="U922" s="130">
        <f>MAX(U923:U980)</f>
        <v>7496.9815669755681</v>
      </c>
    </row>
    <row r="923" spans="1:21" s="64" customFormat="1" ht="36" customHeight="1" x14ac:dyDescent="0.9">
      <c r="A923" s="64">
        <v>1</v>
      </c>
      <c r="B923" s="96">
        <f>SUBTOTAL(103,$A923:A$923)</f>
        <v>1</v>
      </c>
      <c r="C923" s="94" t="s">
        <v>591</v>
      </c>
      <c r="D923" s="138">
        <v>1958</v>
      </c>
      <c r="E923" s="138"/>
      <c r="F923" s="167" t="s">
        <v>273</v>
      </c>
      <c r="G923" s="138">
        <v>2</v>
      </c>
      <c r="H923" s="138">
        <v>2</v>
      </c>
      <c r="I923" s="129">
        <v>593.5</v>
      </c>
      <c r="J923" s="129">
        <v>548.79999999999995</v>
      </c>
      <c r="K923" s="129">
        <v>511.1</v>
      </c>
      <c r="L923" s="139">
        <v>26</v>
      </c>
      <c r="M923" s="138" t="s">
        <v>271</v>
      </c>
      <c r="N923" s="138" t="s">
        <v>275</v>
      </c>
      <c r="O923" s="136" t="s">
        <v>1039</v>
      </c>
      <c r="P923" s="130">
        <v>3147713.25</v>
      </c>
      <c r="Q923" s="130">
        <v>0</v>
      </c>
      <c r="R923" s="130">
        <v>0</v>
      </c>
      <c r="S923" s="130">
        <f t="shared" ref="S923:S980" si="332">P923-Q923-R923</f>
        <v>3147713.25</v>
      </c>
      <c r="T923" s="130">
        <f t="shared" si="320"/>
        <v>5303.6449031171023</v>
      </c>
      <c r="U923" s="130">
        <v>7496.9815669755681</v>
      </c>
    </row>
    <row r="924" spans="1:21" s="64" customFormat="1" ht="36" customHeight="1" x14ac:dyDescent="0.9">
      <c r="A924" s="64">
        <v>1</v>
      </c>
      <c r="B924" s="96">
        <f>SUBTOTAL(103,$A$923:A924)</f>
        <v>2</v>
      </c>
      <c r="C924" s="94" t="s">
        <v>592</v>
      </c>
      <c r="D924" s="138" t="s">
        <v>317</v>
      </c>
      <c r="E924" s="138"/>
      <c r="F924" s="167" t="s">
        <v>273</v>
      </c>
      <c r="G924" s="138" t="s">
        <v>361</v>
      </c>
      <c r="H924" s="138">
        <v>1</v>
      </c>
      <c r="I924" s="129">
        <v>658.3</v>
      </c>
      <c r="J924" s="129">
        <v>606.6</v>
      </c>
      <c r="K924" s="129">
        <v>287.10000000000002</v>
      </c>
      <c r="L924" s="139">
        <v>17</v>
      </c>
      <c r="M924" s="138" t="s">
        <v>271</v>
      </c>
      <c r="N924" s="138" t="s">
        <v>275</v>
      </c>
      <c r="O924" s="136" t="s">
        <v>1059</v>
      </c>
      <c r="P924" s="130">
        <v>1023224.5700000001</v>
      </c>
      <c r="Q924" s="130">
        <v>0</v>
      </c>
      <c r="R924" s="130">
        <v>0</v>
      </c>
      <c r="S924" s="130">
        <f t="shared" si="332"/>
        <v>1023224.5700000001</v>
      </c>
      <c r="T924" s="130">
        <f t="shared" si="320"/>
        <v>1554.3438705757255</v>
      </c>
      <c r="U924" s="130">
        <v>2112.1917059091602</v>
      </c>
    </row>
    <row r="925" spans="1:21" s="64" customFormat="1" ht="36" customHeight="1" x14ac:dyDescent="0.9">
      <c r="A925" s="64">
        <v>1</v>
      </c>
      <c r="B925" s="96">
        <f>SUBTOTAL(103,$A$923:A925)</f>
        <v>3</v>
      </c>
      <c r="C925" s="94" t="s">
        <v>1133</v>
      </c>
      <c r="D925" s="138">
        <v>1962</v>
      </c>
      <c r="E925" s="138"/>
      <c r="F925" s="167" t="s">
        <v>273</v>
      </c>
      <c r="G925" s="138">
        <v>3</v>
      </c>
      <c r="H925" s="138">
        <v>2</v>
      </c>
      <c r="I925" s="129">
        <v>970.2</v>
      </c>
      <c r="J925" s="129">
        <v>615</v>
      </c>
      <c r="K925" s="129">
        <v>615</v>
      </c>
      <c r="L925" s="139">
        <v>60</v>
      </c>
      <c r="M925" s="138" t="s">
        <v>271</v>
      </c>
      <c r="N925" s="138" t="s">
        <v>275</v>
      </c>
      <c r="O925" s="136" t="s">
        <v>1142</v>
      </c>
      <c r="P925" s="130">
        <v>2100000</v>
      </c>
      <c r="Q925" s="130">
        <v>0</v>
      </c>
      <c r="R925" s="130">
        <v>0</v>
      </c>
      <c r="S925" s="130">
        <f t="shared" si="332"/>
        <v>2100000</v>
      </c>
      <c r="T925" s="130">
        <f t="shared" si="320"/>
        <v>2164.5021645021643</v>
      </c>
      <c r="U925" s="130">
        <v>2567.2330653473509</v>
      </c>
    </row>
    <row r="926" spans="1:21" s="64" customFormat="1" ht="36" customHeight="1" x14ac:dyDescent="0.9">
      <c r="A926" s="64">
        <v>1</v>
      </c>
      <c r="B926" s="96">
        <f>SUBTOTAL(103,$A$923:A926)</f>
        <v>4</v>
      </c>
      <c r="C926" s="94" t="s">
        <v>593</v>
      </c>
      <c r="D926" s="138" t="s">
        <v>322</v>
      </c>
      <c r="E926" s="138"/>
      <c r="F926" s="167" t="s">
        <v>319</v>
      </c>
      <c r="G926" s="138" t="s">
        <v>361</v>
      </c>
      <c r="H926" s="138">
        <v>3</v>
      </c>
      <c r="I926" s="129">
        <v>2819.1</v>
      </c>
      <c r="J926" s="129">
        <v>2571.8000000000002</v>
      </c>
      <c r="K926" s="129">
        <v>1698</v>
      </c>
      <c r="L926" s="139">
        <v>109</v>
      </c>
      <c r="M926" s="138" t="s">
        <v>271</v>
      </c>
      <c r="N926" s="138" t="s">
        <v>275</v>
      </c>
      <c r="O926" s="136" t="s">
        <v>1035</v>
      </c>
      <c r="P926" s="130">
        <v>3183875.94</v>
      </c>
      <c r="Q926" s="130">
        <v>0</v>
      </c>
      <c r="R926" s="130">
        <v>0</v>
      </c>
      <c r="S926" s="130">
        <f t="shared" si="332"/>
        <v>3183875.94</v>
      </c>
      <c r="T926" s="130">
        <f t="shared" si="320"/>
        <v>1129.394466319038</v>
      </c>
      <c r="U926" s="130">
        <v>1548.3034017948992</v>
      </c>
    </row>
    <row r="927" spans="1:21" s="64" customFormat="1" ht="36" customHeight="1" x14ac:dyDescent="0.9">
      <c r="A927" s="64">
        <v>1</v>
      </c>
      <c r="B927" s="96">
        <f>SUBTOTAL(103,$A$923:A927)</f>
        <v>5</v>
      </c>
      <c r="C927" s="94" t="s">
        <v>594</v>
      </c>
      <c r="D927" s="138" t="s">
        <v>317</v>
      </c>
      <c r="E927" s="138"/>
      <c r="F927" s="167" t="s">
        <v>273</v>
      </c>
      <c r="G927" s="138" t="s">
        <v>367</v>
      </c>
      <c r="H927" s="138">
        <v>1</v>
      </c>
      <c r="I927" s="129">
        <v>3295.9</v>
      </c>
      <c r="J927" s="129">
        <v>2784.3</v>
      </c>
      <c r="K927" s="129">
        <v>2287.3000000000002</v>
      </c>
      <c r="L927" s="139">
        <v>98</v>
      </c>
      <c r="M927" s="138" t="s">
        <v>271</v>
      </c>
      <c r="N927" s="138" t="s">
        <v>275</v>
      </c>
      <c r="O927" s="136" t="s">
        <v>1035</v>
      </c>
      <c r="P927" s="130">
        <v>1598353.21</v>
      </c>
      <c r="Q927" s="130">
        <v>0</v>
      </c>
      <c r="R927" s="130">
        <v>0</v>
      </c>
      <c r="S927" s="130">
        <f t="shared" si="332"/>
        <v>1598353.21</v>
      </c>
      <c r="T927" s="130">
        <f t="shared" si="320"/>
        <v>484.95197366424952</v>
      </c>
      <c r="U927" s="130">
        <v>643.8170029430504</v>
      </c>
    </row>
    <row r="928" spans="1:21" s="64" customFormat="1" ht="36" customHeight="1" x14ac:dyDescent="0.9">
      <c r="A928" s="64">
        <v>1</v>
      </c>
      <c r="B928" s="96">
        <f>SUBTOTAL(103,$A$923:A928)</f>
        <v>6</v>
      </c>
      <c r="C928" s="94" t="s">
        <v>595</v>
      </c>
      <c r="D928" s="138" t="s">
        <v>322</v>
      </c>
      <c r="E928" s="138"/>
      <c r="F928" s="167" t="s">
        <v>319</v>
      </c>
      <c r="G928" s="138" t="s">
        <v>361</v>
      </c>
      <c r="H928" s="138">
        <v>5</v>
      </c>
      <c r="I928" s="129">
        <v>5771.6</v>
      </c>
      <c r="J928" s="129">
        <v>4780.3999999999996</v>
      </c>
      <c r="K928" s="129">
        <v>4455.8999999999996</v>
      </c>
      <c r="L928" s="139">
        <v>241</v>
      </c>
      <c r="M928" s="138" t="s">
        <v>271</v>
      </c>
      <c r="N928" s="138" t="s">
        <v>275</v>
      </c>
      <c r="O928" s="136" t="s">
        <v>1035</v>
      </c>
      <c r="P928" s="130">
        <v>5391207.6599999992</v>
      </c>
      <c r="Q928" s="130">
        <v>0</v>
      </c>
      <c r="R928" s="130">
        <v>0</v>
      </c>
      <c r="S928" s="130">
        <f t="shared" si="332"/>
        <v>5391207.6599999992</v>
      </c>
      <c r="T928" s="130">
        <f t="shared" si="320"/>
        <v>934.09239379028327</v>
      </c>
      <c r="U928" s="130">
        <v>1256.9394968466283</v>
      </c>
    </row>
    <row r="929" spans="1:21" s="64" customFormat="1" ht="36" customHeight="1" x14ac:dyDescent="0.9">
      <c r="A929" s="64">
        <v>1</v>
      </c>
      <c r="B929" s="96">
        <f>SUBTOTAL(103,$A$923:A929)</f>
        <v>7</v>
      </c>
      <c r="C929" s="94" t="s">
        <v>596</v>
      </c>
      <c r="D929" s="138" t="s">
        <v>362</v>
      </c>
      <c r="E929" s="138"/>
      <c r="F929" s="167" t="s">
        <v>273</v>
      </c>
      <c r="G929" s="138" t="s">
        <v>367</v>
      </c>
      <c r="H929" s="138">
        <v>1</v>
      </c>
      <c r="I929" s="129">
        <v>2826.2</v>
      </c>
      <c r="J929" s="129">
        <v>2772.3</v>
      </c>
      <c r="K929" s="129">
        <v>1324.2</v>
      </c>
      <c r="L929" s="139">
        <v>97</v>
      </c>
      <c r="M929" s="138" t="s">
        <v>271</v>
      </c>
      <c r="N929" s="138" t="s">
        <v>275</v>
      </c>
      <c r="O929" s="136" t="s">
        <v>1035</v>
      </c>
      <c r="P929" s="130">
        <v>1896320.0799999998</v>
      </c>
      <c r="Q929" s="130">
        <v>0</v>
      </c>
      <c r="R929" s="130">
        <v>0</v>
      </c>
      <c r="S929" s="130">
        <f t="shared" si="332"/>
        <v>1896320.0799999998</v>
      </c>
      <c r="T929" s="130">
        <f t="shared" si="320"/>
        <v>670.97872762012594</v>
      </c>
      <c r="U929" s="130">
        <v>898.41242657986004</v>
      </c>
    </row>
    <row r="930" spans="1:21" s="64" customFormat="1" ht="36" customHeight="1" x14ac:dyDescent="0.9">
      <c r="A930" s="64">
        <v>1</v>
      </c>
      <c r="B930" s="96">
        <f>SUBTOTAL(103,$A$923:A930)</f>
        <v>8</v>
      </c>
      <c r="C930" s="94" t="s">
        <v>597</v>
      </c>
      <c r="D930" s="138" t="s">
        <v>325</v>
      </c>
      <c r="E930" s="138"/>
      <c r="F930" s="167" t="s">
        <v>319</v>
      </c>
      <c r="G930" s="138" t="s">
        <v>361</v>
      </c>
      <c r="H930" s="138">
        <v>3</v>
      </c>
      <c r="I930" s="129">
        <v>2495.6</v>
      </c>
      <c r="J930" s="129">
        <v>2297</v>
      </c>
      <c r="K930" s="129">
        <v>2070.8000000000002</v>
      </c>
      <c r="L930" s="139">
        <v>94</v>
      </c>
      <c r="M930" s="138" t="s">
        <v>271</v>
      </c>
      <c r="N930" s="138" t="s">
        <v>275</v>
      </c>
      <c r="O930" s="136" t="s">
        <v>1060</v>
      </c>
      <c r="P930" s="130">
        <v>2718609.5</v>
      </c>
      <c r="Q930" s="130">
        <v>0</v>
      </c>
      <c r="R930" s="130">
        <v>0</v>
      </c>
      <c r="S930" s="130">
        <f t="shared" si="332"/>
        <v>2718609.5</v>
      </c>
      <c r="T930" s="130">
        <f t="shared" si="320"/>
        <v>1089.3610754928675</v>
      </c>
      <c r="U930" s="130">
        <v>1436.511372014746</v>
      </c>
    </row>
    <row r="931" spans="1:21" s="64" customFormat="1" ht="36" customHeight="1" x14ac:dyDescent="0.9">
      <c r="A931" s="64">
        <v>1</v>
      </c>
      <c r="B931" s="96">
        <f>SUBTOTAL(103,$A$923:A931)</f>
        <v>9</v>
      </c>
      <c r="C931" s="94" t="s">
        <v>598</v>
      </c>
      <c r="D931" s="138" t="s">
        <v>381</v>
      </c>
      <c r="E931" s="138"/>
      <c r="F931" s="167" t="s">
        <v>273</v>
      </c>
      <c r="G931" s="138" t="s">
        <v>367</v>
      </c>
      <c r="H931" s="138">
        <v>1</v>
      </c>
      <c r="I931" s="129">
        <v>6352.8</v>
      </c>
      <c r="J931" s="129">
        <v>4687.3999999999996</v>
      </c>
      <c r="K931" s="129">
        <v>2543.4</v>
      </c>
      <c r="L931" s="139">
        <v>211</v>
      </c>
      <c r="M931" s="138" t="s">
        <v>271</v>
      </c>
      <c r="N931" s="138" t="s">
        <v>275</v>
      </c>
      <c r="O931" s="136" t="s">
        <v>1037</v>
      </c>
      <c r="P931" s="130">
        <v>3653990.26</v>
      </c>
      <c r="Q931" s="130">
        <v>0</v>
      </c>
      <c r="R931" s="130">
        <v>0</v>
      </c>
      <c r="S931" s="130">
        <f t="shared" si="332"/>
        <v>3653990.26</v>
      </c>
      <c r="T931" s="130">
        <f t="shared" si="320"/>
        <v>575.17791524996846</v>
      </c>
      <c r="U931" s="130">
        <v>755.58733786676737</v>
      </c>
    </row>
    <row r="932" spans="1:21" s="64" customFormat="1" ht="36" customHeight="1" x14ac:dyDescent="0.9">
      <c r="A932" s="64">
        <v>1</v>
      </c>
      <c r="B932" s="96">
        <f>SUBTOTAL(103,$A$923:A932)</f>
        <v>10</v>
      </c>
      <c r="C932" s="94" t="s">
        <v>599</v>
      </c>
      <c r="D932" s="138" t="s">
        <v>331</v>
      </c>
      <c r="E932" s="138"/>
      <c r="F932" s="167" t="s">
        <v>273</v>
      </c>
      <c r="G932" s="138">
        <v>5</v>
      </c>
      <c r="H932" s="138">
        <v>6</v>
      </c>
      <c r="I932" s="129">
        <v>5698.9</v>
      </c>
      <c r="J932" s="129">
        <v>5065.3999999999996</v>
      </c>
      <c r="K932" s="129">
        <v>4813.7</v>
      </c>
      <c r="L932" s="139">
        <v>254</v>
      </c>
      <c r="M932" s="138" t="s">
        <v>271</v>
      </c>
      <c r="N932" s="138" t="s">
        <v>275</v>
      </c>
      <c r="O932" s="136" t="s">
        <v>1041</v>
      </c>
      <c r="P932" s="130">
        <v>6464995.3799999999</v>
      </c>
      <c r="Q932" s="130">
        <v>0</v>
      </c>
      <c r="R932" s="130">
        <v>0</v>
      </c>
      <c r="S932" s="130">
        <f t="shared" si="332"/>
        <v>6464995.3799999999</v>
      </c>
      <c r="T932" s="130">
        <f t="shared" si="320"/>
        <v>1134.4286406148556</v>
      </c>
      <c r="U932" s="130">
        <v>1469.6485784976051</v>
      </c>
    </row>
    <row r="933" spans="1:21" s="64" customFormat="1" ht="36" customHeight="1" x14ac:dyDescent="0.9">
      <c r="A933" s="64">
        <v>1</v>
      </c>
      <c r="B933" s="96">
        <f>SUBTOTAL(103,$A$923:A933)</f>
        <v>11</v>
      </c>
      <c r="C933" s="94" t="s">
        <v>600</v>
      </c>
      <c r="D933" s="138" t="s">
        <v>382</v>
      </c>
      <c r="E933" s="138"/>
      <c r="F933" s="167" t="s">
        <v>319</v>
      </c>
      <c r="G933" s="138" t="s">
        <v>361</v>
      </c>
      <c r="H933" s="138">
        <v>4</v>
      </c>
      <c r="I933" s="129">
        <v>4042.4</v>
      </c>
      <c r="J933" s="129">
        <v>3045.4</v>
      </c>
      <c r="K933" s="129">
        <v>2978.7</v>
      </c>
      <c r="L933" s="139">
        <v>118</v>
      </c>
      <c r="M933" s="138" t="s">
        <v>271</v>
      </c>
      <c r="N933" s="138" t="s">
        <v>275</v>
      </c>
      <c r="O933" s="136" t="s">
        <v>1036</v>
      </c>
      <c r="P933" s="130">
        <v>3493332.35</v>
      </c>
      <c r="Q933" s="130">
        <v>0</v>
      </c>
      <c r="R933" s="130">
        <v>0</v>
      </c>
      <c r="S933" s="130">
        <f t="shared" si="332"/>
        <v>3493332.35</v>
      </c>
      <c r="T933" s="130">
        <f t="shared" si="320"/>
        <v>864.17285523451415</v>
      </c>
      <c r="U933" s="130">
        <v>1136.8886532752822</v>
      </c>
    </row>
    <row r="934" spans="1:21" s="64" customFormat="1" ht="36" customHeight="1" x14ac:dyDescent="0.9">
      <c r="A934" s="64">
        <v>1</v>
      </c>
      <c r="B934" s="96">
        <f>SUBTOTAL(103,$A$923:A934)</f>
        <v>12</v>
      </c>
      <c r="C934" s="94" t="s">
        <v>601</v>
      </c>
      <c r="D934" s="138">
        <v>1971</v>
      </c>
      <c r="E934" s="138"/>
      <c r="F934" s="167" t="s">
        <v>273</v>
      </c>
      <c r="G934" s="138">
        <v>5</v>
      </c>
      <c r="H934" s="138">
        <v>5</v>
      </c>
      <c r="I934" s="129">
        <v>4541.8</v>
      </c>
      <c r="J934" s="129">
        <v>4541.8</v>
      </c>
      <c r="K934" s="129">
        <v>4403.2</v>
      </c>
      <c r="L934" s="139">
        <v>250</v>
      </c>
      <c r="M934" s="138" t="s">
        <v>271</v>
      </c>
      <c r="N934" s="138" t="s">
        <v>275</v>
      </c>
      <c r="O934" s="136" t="s">
        <v>357</v>
      </c>
      <c r="P934" s="130">
        <v>5751539.1200000001</v>
      </c>
      <c r="Q934" s="130">
        <v>0</v>
      </c>
      <c r="R934" s="130">
        <v>0</v>
      </c>
      <c r="S934" s="130">
        <f t="shared" si="332"/>
        <v>5751539.1200000001</v>
      </c>
      <c r="T934" s="130">
        <f t="shared" si="320"/>
        <v>1266.3567572328152</v>
      </c>
      <c r="U934" s="130">
        <v>1677.6823691047603</v>
      </c>
    </row>
    <row r="935" spans="1:21" s="64" customFormat="1" ht="36" customHeight="1" x14ac:dyDescent="0.9">
      <c r="A935" s="64">
        <v>1</v>
      </c>
      <c r="B935" s="96">
        <f>SUBTOTAL(103,$A$923:A935)</f>
        <v>13</v>
      </c>
      <c r="C935" s="94" t="s">
        <v>602</v>
      </c>
      <c r="D935" s="138" t="s">
        <v>317</v>
      </c>
      <c r="E935" s="138"/>
      <c r="F935" s="167" t="s">
        <v>319</v>
      </c>
      <c r="G935" s="138" t="s">
        <v>361</v>
      </c>
      <c r="H935" s="138">
        <v>6</v>
      </c>
      <c r="I935" s="129">
        <v>6071.1</v>
      </c>
      <c r="J935" s="129">
        <v>4547.3999999999996</v>
      </c>
      <c r="K935" s="129">
        <v>4155.2</v>
      </c>
      <c r="L935" s="139">
        <v>204</v>
      </c>
      <c r="M935" s="138" t="s">
        <v>271</v>
      </c>
      <c r="N935" s="138" t="s">
        <v>275</v>
      </c>
      <c r="O935" s="136" t="s">
        <v>1036</v>
      </c>
      <c r="P935" s="130">
        <v>5350859.32</v>
      </c>
      <c r="Q935" s="130">
        <v>0</v>
      </c>
      <c r="R935" s="130">
        <v>0</v>
      </c>
      <c r="S935" s="130">
        <f t="shared" si="332"/>
        <v>5350859.32</v>
      </c>
      <c r="T935" s="130">
        <f t="shared" si="320"/>
        <v>881.36570308510818</v>
      </c>
      <c r="U935" s="130">
        <v>1146.1389962280311</v>
      </c>
    </row>
    <row r="936" spans="1:21" s="64" customFormat="1" ht="36" customHeight="1" x14ac:dyDescent="0.9">
      <c r="A936" s="64">
        <v>1</v>
      </c>
      <c r="B936" s="96">
        <f>SUBTOTAL(103,$A$923:A936)</f>
        <v>14</v>
      </c>
      <c r="C936" s="94" t="s">
        <v>603</v>
      </c>
      <c r="D936" s="138" t="s">
        <v>380</v>
      </c>
      <c r="E936" s="138"/>
      <c r="F936" s="167" t="s">
        <v>319</v>
      </c>
      <c r="G936" s="138" t="s">
        <v>383</v>
      </c>
      <c r="H936" s="138">
        <v>2</v>
      </c>
      <c r="I936" s="129">
        <v>2963</v>
      </c>
      <c r="J936" s="129">
        <v>2175.9</v>
      </c>
      <c r="K936" s="129">
        <v>2084.1</v>
      </c>
      <c r="L936" s="139">
        <v>123</v>
      </c>
      <c r="M936" s="138" t="s">
        <v>271</v>
      </c>
      <c r="N936" s="138" t="s">
        <v>275</v>
      </c>
      <c r="O936" s="136" t="s">
        <v>1036</v>
      </c>
      <c r="P936" s="130">
        <v>2108786.08</v>
      </c>
      <c r="Q936" s="130">
        <v>0</v>
      </c>
      <c r="R936" s="130">
        <v>0</v>
      </c>
      <c r="S936" s="130">
        <f t="shared" si="332"/>
        <v>2108786.08</v>
      </c>
      <c r="T936" s="130">
        <f t="shared" si="320"/>
        <v>711.70640566992915</v>
      </c>
      <c r="U936" s="130">
        <v>948.13542423219712</v>
      </c>
    </row>
    <row r="937" spans="1:21" s="64" customFormat="1" ht="36" customHeight="1" x14ac:dyDescent="0.9">
      <c r="A937" s="64">
        <v>1</v>
      </c>
      <c r="B937" s="96">
        <f>SUBTOTAL(103,$A$923:A937)</f>
        <v>15</v>
      </c>
      <c r="C937" s="94" t="s">
        <v>604</v>
      </c>
      <c r="D937" s="138" t="s">
        <v>321</v>
      </c>
      <c r="E937" s="138"/>
      <c r="F937" s="167" t="s">
        <v>319</v>
      </c>
      <c r="G937" s="138" t="s">
        <v>383</v>
      </c>
      <c r="H937" s="138">
        <v>2</v>
      </c>
      <c r="I937" s="129">
        <v>2482.1</v>
      </c>
      <c r="J937" s="129">
        <v>2181.5500000000002</v>
      </c>
      <c r="K937" s="129">
        <v>1858.6</v>
      </c>
      <c r="L937" s="139">
        <v>96</v>
      </c>
      <c r="M937" s="138" t="s">
        <v>271</v>
      </c>
      <c r="N937" s="138" t="s">
        <v>275</v>
      </c>
      <c r="O937" s="136" t="s">
        <v>1039</v>
      </c>
      <c r="P937" s="130">
        <v>2108788.0499999998</v>
      </c>
      <c r="Q937" s="130">
        <v>0</v>
      </c>
      <c r="R937" s="130">
        <v>0</v>
      </c>
      <c r="S937" s="130">
        <f t="shared" si="332"/>
        <v>2108788.0499999998</v>
      </c>
      <c r="T937" s="130">
        <f t="shared" si="320"/>
        <v>849.59834414407146</v>
      </c>
      <c r="U937" s="130">
        <v>1131.7853240401273</v>
      </c>
    </row>
    <row r="938" spans="1:21" s="64" customFormat="1" ht="36" customHeight="1" x14ac:dyDescent="0.9">
      <c r="A938" s="64">
        <v>1</v>
      </c>
      <c r="B938" s="96">
        <f>SUBTOTAL(103,$A$923:A938)</f>
        <v>16</v>
      </c>
      <c r="C938" s="94" t="s">
        <v>605</v>
      </c>
      <c r="D938" s="138" t="s">
        <v>384</v>
      </c>
      <c r="E938" s="138"/>
      <c r="F938" s="167" t="s">
        <v>319</v>
      </c>
      <c r="G938" s="138" t="s">
        <v>361</v>
      </c>
      <c r="H938" s="138">
        <v>4</v>
      </c>
      <c r="I938" s="129">
        <v>3579.9</v>
      </c>
      <c r="J938" s="129">
        <v>3134.6</v>
      </c>
      <c r="K938" s="129">
        <v>3134.6</v>
      </c>
      <c r="L938" s="139">
        <v>151</v>
      </c>
      <c r="M938" s="138" t="s">
        <v>271</v>
      </c>
      <c r="N938" s="138" t="s">
        <v>275</v>
      </c>
      <c r="O938" s="136" t="s">
        <v>1041</v>
      </c>
      <c r="P938" s="130">
        <v>4241954.88</v>
      </c>
      <c r="Q938" s="130">
        <v>0</v>
      </c>
      <c r="R938" s="130">
        <v>0</v>
      </c>
      <c r="S938" s="130">
        <f t="shared" si="332"/>
        <v>4241954.88</v>
      </c>
      <c r="T938" s="130">
        <f t="shared" si="320"/>
        <v>1184.9366965557697</v>
      </c>
      <c r="U938" s="130">
        <v>1549.7412335540098</v>
      </c>
    </row>
    <row r="939" spans="1:21" s="64" customFormat="1" ht="36" customHeight="1" x14ac:dyDescent="0.9">
      <c r="A939" s="64">
        <v>1</v>
      </c>
      <c r="B939" s="96">
        <f>SUBTOTAL(103,$A$923:A939)</f>
        <v>17</v>
      </c>
      <c r="C939" s="94" t="s">
        <v>606</v>
      </c>
      <c r="D939" s="138" t="s">
        <v>385</v>
      </c>
      <c r="E939" s="138"/>
      <c r="F939" s="167" t="s">
        <v>273</v>
      </c>
      <c r="G939" s="138" t="s">
        <v>320</v>
      </c>
      <c r="H939" s="138">
        <v>1</v>
      </c>
      <c r="I939" s="129">
        <v>1637</v>
      </c>
      <c r="J939" s="129">
        <v>983.6</v>
      </c>
      <c r="K939" s="129">
        <v>768.5</v>
      </c>
      <c r="L939" s="139">
        <v>71</v>
      </c>
      <c r="M939" s="138" t="s">
        <v>271</v>
      </c>
      <c r="N939" s="138" t="s">
        <v>275</v>
      </c>
      <c r="O939" s="136" t="s">
        <v>1039</v>
      </c>
      <c r="P939" s="130">
        <v>3514995.2</v>
      </c>
      <c r="Q939" s="130">
        <v>0</v>
      </c>
      <c r="R939" s="130">
        <v>0</v>
      </c>
      <c r="S939" s="130">
        <f t="shared" si="332"/>
        <v>3514995.2</v>
      </c>
      <c r="T939" s="130">
        <f t="shared" si="320"/>
        <v>2147.2175931582165</v>
      </c>
      <c r="U939" s="130">
        <v>2862.0839951130115</v>
      </c>
    </row>
    <row r="940" spans="1:21" s="64" customFormat="1" ht="36" customHeight="1" x14ac:dyDescent="0.9">
      <c r="A940" s="64">
        <v>1</v>
      </c>
      <c r="B940" s="96">
        <f>SUBTOTAL(103,$A$923:A940)</f>
        <v>18</v>
      </c>
      <c r="C940" s="94" t="s">
        <v>607</v>
      </c>
      <c r="D940" s="138" t="s">
        <v>318</v>
      </c>
      <c r="E940" s="138"/>
      <c r="F940" s="167" t="s">
        <v>319</v>
      </c>
      <c r="G940" s="138" t="s">
        <v>361</v>
      </c>
      <c r="H940" s="138">
        <v>3</v>
      </c>
      <c r="I940" s="129">
        <v>2249.1</v>
      </c>
      <c r="J940" s="129">
        <v>2046.7</v>
      </c>
      <c r="K940" s="129">
        <v>2046.7</v>
      </c>
      <c r="L940" s="139">
        <v>97</v>
      </c>
      <c r="M940" s="138" t="s">
        <v>271</v>
      </c>
      <c r="N940" s="138" t="s">
        <v>275</v>
      </c>
      <c r="O940" s="136" t="s">
        <v>1041</v>
      </c>
      <c r="P940" s="130">
        <v>2547497.35</v>
      </c>
      <c r="Q940" s="130">
        <v>0</v>
      </c>
      <c r="R940" s="130">
        <v>0</v>
      </c>
      <c r="S940" s="130">
        <f t="shared" si="332"/>
        <v>2547497.35</v>
      </c>
      <c r="T940" s="130">
        <f t="shared" si="320"/>
        <v>1132.6741140900806</v>
      </c>
      <c r="U940" s="130">
        <v>1497.1860833222179</v>
      </c>
    </row>
    <row r="941" spans="1:21" s="64" customFormat="1" ht="36" customHeight="1" x14ac:dyDescent="0.9">
      <c r="A941" s="64">
        <v>1</v>
      </c>
      <c r="B941" s="96">
        <f>SUBTOTAL(103,$A$923:A941)</f>
        <v>19</v>
      </c>
      <c r="C941" s="94" t="s">
        <v>608</v>
      </c>
      <c r="D941" s="138" t="s">
        <v>318</v>
      </c>
      <c r="E941" s="138"/>
      <c r="F941" s="167" t="s">
        <v>273</v>
      </c>
      <c r="G941" s="138" t="s">
        <v>361</v>
      </c>
      <c r="H941" s="138">
        <v>1</v>
      </c>
      <c r="I941" s="129">
        <v>867.9</v>
      </c>
      <c r="J941" s="129">
        <v>809.2</v>
      </c>
      <c r="K941" s="129">
        <v>766.2</v>
      </c>
      <c r="L941" s="139">
        <v>36</v>
      </c>
      <c r="M941" s="138" t="s">
        <v>271</v>
      </c>
      <c r="N941" s="138" t="s">
        <v>275</v>
      </c>
      <c r="O941" s="136" t="s">
        <v>358</v>
      </c>
      <c r="P941" s="130">
        <v>974208.66</v>
      </c>
      <c r="Q941" s="130">
        <v>0</v>
      </c>
      <c r="R941" s="130">
        <v>0</v>
      </c>
      <c r="S941" s="130">
        <f t="shared" si="332"/>
        <v>974208.66</v>
      </c>
      <c r="T941" s="130">
        <f t="shared" si="320"/>
        <v>1122.4895264431386</v>
      </c>
      <c r="U941" s="130">
        <v>1574.2297038829358</v>
      </c>
    </row>
    <row r="942" spans="1:21" s="64" customFormat="1" ht="36" customHeight="1" x14ac:dyDescent="0.9">
      <c r="A942" s="64">
        <v>1</v>
      </c>
      <c r="B942" s="96">
        <f>SUBTOTAL(103,$A$923:A942)</f>
        <v>20</v>
      </c>
      <c r="C942" s="94" t="s">
        <v>609</v>
      </c>
      <c r="D942" s="101" t="s">
        <v>386</v>
      </c>
      <c r="E942" s="138"/>
      <c r="F942" s="167" t="s">
        <v>319</v>
      </c>
      <c r="G942" s="138" t="s">
        <v>361</v>
      </c>
      <c r="H942" s="138">
        <v>3</v>
      </c>
      <c r="I942" s="129">
        <v>2653.8</v>
      </c>
      <c r="J942" s="129">
        <v>2443.1</v>
      </c>
      <c r="K942" s="129">
        <v>2354.1</v>
      </c>
      <c r="L942" s="139">
        <v>102</v>
      </c>
      <c r="M942" s="138" t="s">
        <v>271</v>
      </c>
      <c r="N942" s="138" t="s">
        <v>275</v>
      </c>
      <c r="O942" s="136" t="s">
        <v>1035</v>
      </c>
      <c r="P942" s="130">
        <v>2883983.08</v>
      </c>
      <c r="Q942" s="130">
        <v>0</v>
      </c>
      <c r="R942" s="130">
        <v>0</v>
      </c>
      <c r="S942" s="130">
        <f t="shared" si="332"/>
        <v>2883983.08</v>
      </c>
      <c r="T942" s="130">
        <f t="shared" si="320"/>
        <v>1086.7371618057125</v>
      </c>
      <c r="U942" s="130">
        <v>1439.7206722435753</v>
      </c>
    </row>
    <row r="943" spans="1:21" s="64" customFormat="1" ht="36" customHeight="1" x14ac:dyDescent="0.9">
      <c r="A943" s="64">
        <v>1</v>
      </c>
      <c r="B943" s="96">
        <f>SUBTOTAL(103,$A$923:A943)</f>
        <v>21</v>
      </c>
      <c r="C943" s="94" t="s">
        <v>610</v>
      </c>
      <c r="D943" s="101" t="s">
        <v>386</v>
      </c>
      <c r="E943" s="138"/>
      <c r="F943" s="167" t="s">
        <v>319</v>
      </c>
      <c r="G943" s="138" t="s">
        <v>361</v>
      </c>
      <c r="H943" s="138">
        <v>3</v>
      </c>
      <c r="I943" s="129">
        <v>2632.8</v>
      </c>
      <c r="J943" s="129">
        <v>2351.9</v>
      </c>
      <c r="K943" s="129">
        <v>2335.8000000000002</v>
      </c>
      <c r="L943" s="139">
        <v>107</v>
      </c>
      <c r="M943" s="138" t="s">
        <v>271</v>
      </c>
      <c r="N943" s="138" t="s">
        <v>275</v>
      </c>
      <c r="O943" s="136" t="s">
        <v>1035</v>
      </c>
      <c r="P943" s="130">
        <v>2883983.08</v>
      </c>
      <c r="Q943" s="130">
        <v>0</v>
      </c>
      <c r="R943" s="130">
        <v>0</v>
      </c>
      <c r="S943" s="130">
        <f t="shared" si="332"/>
        <v>2883983.08</v>
      </c>
      <c r="T943" s="130">
        <f t="shared" si="320"/>
        <v>1095.4053023397144</v>
      </c>
      <c r="U943" s="130">
        <v>1451.2043147979336</v>
      </c>
    </row>
    <row r="944" spans="1:21" s="64" customFormat="1" ht="36" customHeight="1" x14ac:dyDescent="0.9">
      <c r="A944" s="64">
        <v>1</v>
      </c>
      <c r="B944" s="96">
        <f>SUBTOTAL(103,$A$923:A944)</f>
        <v>22</v>
      </c>
      <c r="C944" s="94" t="s">
        <v>611</v>
      </c>
      <c r="D944" s="138" t="s">
        <v>318</v>
      </c>
      <c r="E944" s="138"/>
      <c r="F944" s="167" t="s">
        <v>273</v>
      </c>
      <c r="G944" s="138" t="s">
        <v>367</v>
      </c>
      <c r="H944" s="138">
        <v>1</v>
      </c>
      <c r="I944" s="129">
        <v>3626.2</v>
      </c>
      <c r="J944" s="129">
        <v>3322.8</v>
      </c>
      <c r="K944" s="129">
        <v>3152.1</v>
      </c>
      <c r="L944" s="139">
        <v>152</v>
      </c>
      <c r="M944" s="138" t="s">
        <v>271</v>
      </c>
      <c r="N944" s="138" t="s">
        <v>275</v>
      </c>
      <c r="O944" s="136" t="s">
        <v>1035</v>
      </c>
      <c r="P944" s="130">
        <v>3302263</v>
      </c>
      <c r="Q944" s="130">
        <v>0</v>
      </c>
      <c r="R944" s="130">
        <v>0</v>
      </c>
      <c r="S944" s="130">
        <f t="shared" si="332"/>
        <v>3302263</v>
      </c>
      <c r="T944" s="130">
        <f t="shared" si="320"/>
        <v>910.66764105675372</v>
      </c>
      <c r="U944" s="130">
        <v>1200.3560752302687</v>
      </c>
    </row>
    <row r="945" spans="1:21" s="64" customFormat="1" ht="36" customHeight="1" x14ac:dyDescent="0.9">
      <c r="A945" s="64">
        <v>1</v>
      </c>
      <c r="B945" s="96">
        <f>SUBTOTAL(103,$A$923:A945)</f>
        <v>23</v>
      </c>
      <c r="C945" s="94" t="s">
        <v>612</v>
      </c>
      <c r="D945" s="138" t="s">
        <v>315</v>
      </c>
      <c r="E945" s="138"/>
      <c r="F945" s="167" t="s">
        <v>319</v>
      </c>
      <c r="G945" s="138" t="s">
        <v>361</v>
      </c>
      <c r="H945" s="138">
        <v>4</v>
      </c>
      <c r="I945" s="129">
        <v>3900.1</v>
      </c>
      <c r="J945" s="129">
        <v>3632.2</v>
      </c>
      <c r="K945" s="129">
        <v>3566.5</v>
      </c>
      <c r="L945" s="139">
        <v>174</v>
      </c>
      <c r="M945" s="138" t="s">
        <v>271</v>
      </c>
      <c r="N945" s="138" t="s">
        <v>275</v>
      </c>
      <c r="O945" s="136" t="s">
        <v>1035</v>
      </c>
      <c r="P945" s="130">
        <v>4272967.33</v>
      </c>
      <c r="Q945" s="130">
        <v>0</v>
      </c>
      <c r="R945" s="130">
        <v>0</v>
      </c>
      <c r="S945" s="130">
        <f t="shared" si="332"/>
        <v>4272967.33</v>
      </c>
      <c r="T945" s="130">
        <f t="shared" si="320"/>
        <v>1095.6045562934285</v>
      </c>
      <c r="U945" s="130">
        <v>1488.0750749980768</v>
      </c>
    </row>
    <row r="946" spans="1:21" s="64" customFormat="1" ht="36" customHeight="1" x14ac:dyDescent="0.9">
      <c r="A946" s="64">
        <v>1</v>
      </c>
      <c r="B946" s="96">
        <f>SUBTOTAL(103,$A$923:A946)</f>
        <v>24</v>
      </c>
      <c r="C946" s="94" t="s">
        <v>613</v>
      </c>
      <c r="D946" s="138" t="s">
        <v>387</v>
      </c>
      <c r="E946" s="138"/>
      <c r="F946" s="167" t="s">
        <v>319</v>
      </c>
      <c r="G946" s="138" t="s">
        <v>361</v>
      </c>
      <c r="H946" s="138">
        <v>4</v>
      </c>
      <c r="I946" s="129">
        <v>3861</v>
      </c>
      <c r="J946" s="129">
        <v>3604.2</v>
      </c>
      <c r="K946" s="129">
        <v>3552.1</v>
      </c>
      <c r="L946" s="139">
        <v>165</v>
      </c>
      <c r="M946" s="138" t="s">
        <v>271</v>
      </c>
      <c r="N946" s="138" t="s">
        <v>275</v>
      </c>
      <c r="O946" s="136" t="s">
        <v>1035</v>
      </c>
      <c r="P946" s="130">
        <v>4323303.57</v>
      </c>
      <c r="Q946" s="130">
        <v>0</v>
      </c>
      <c r="R946" s="130">
        <v>0</v>
      </c>
      <c r="S946" s="130">
        <f t="shared" si="332"/>
        <v>4323303.57</v>
      </c>
      <c r="T946" s="130">
        <f t="shared" si="320"/>
        <v>1119.7367443667445</v>
      </c>
      <c r="U946" s="130">
        <v>1520.3682103082103</v>
      </c>
    </row>
    <row r="947" spans="1:21" s="64" customFormat="1" ht="36" customHeight="1" x14ac:dyDescent="0.9">
      <c r="A947" s="64">
        <v>1</v>
      </c>
      <c r="B947" s="96">
        <f>SUBTOTAL(103,$A$923:A947)</f>
        <v>25</v>
      </c>
      <c r="C947" s="94" t="s">
        <v>614</v>
      </c>
      <c r="D947" s="138" t="s">
        <v>388</v>
      </c>
      <c r="E947" s="138"/>
      <c r="F947" s="167" t="s">
        <v>273</v>
      </c>
      <c r="G947" s="138" t="s">
        <v>367</v>
      </c>
      <c r="H947" s="138">
        <v>1</v>
      </c>
      <c r="I947" s="129">
        <v>1800.4</v>
      </c>
      <c r="J947" s="129">
        <v>1643.1</v>
      </c>
      <c r="K947" s="129">
        <v>1043.0999999999999</v>
      </c>
      <c r="L947" s="139">
        <v>59</v>
      </c>
      <c r="M947" s="138" t="s">
        <v>271</v>
      </c>
      <c r="N947" s="138" t="s">
        <v>275</v>
      </c>
      <c r="O947" s="136" t="s">
        <v>1049</v>
      </c>
      <c r="P947" s="130">
        <v>2249559.61</v>
      </c>
      <c r="Q947" s="130">
        <v>0</v>
      </c>
      <c r="R947" s="130">
        <v>0</v>
      </c>
      <c r="S947" s="130">
        <f t="shared" si="332"/>
        <v>2249559.61</v>
      </c>
      <c r="T947" s="130">
        <f t="shared" si="320"/>
        <v>1249.4776771828481</v>
      </c>
      <c r="U947" s="130">
        <v>1249.4776771828481</v>
      </c>
    </row>
    <row r="948" spans="1:21" s="64" customFormat="1" ht="36" customHeight="1" x14ac:dyDescent="0.9">
      <c r="A948" s="64">
        <v>1</v>
      </c>
      <c r="B948" s="96">
        <f>SUBTOTAL(103,$A$923:A948)</f>
        <v>26</v>
      </c>
      <c r="C948" s="94" t="s">
        <v>615</v>
      </c>
      <c r="D948" s="138">
        <v>1962</v>
      </c>
      <c r="E948" s="138"/>
      <c r="F948" s="167" t="s">
        <v>273</v>
      </c>
      <c r="G948" s="138">
        <v>5</v>
      </c>
      <c r="H948" s="138">
        <v>4</v>
      </c>
      <c r="I948" s="129">
        <v>4073.9</v>
      </c>
      <c r="J948" s="129">
        <v>3133.8</v>
      </c>
      <c r="K948" s="129">
        <v>2004.3</v>
      </c>
      <c r="L948" s="139">
        <v>154</v>
      </c>
      <c r="M948" s="138" t="s">
        <v>271</v>
      </c>
      <c r="N948" s="138" t="s">
        <v>275</v>
      </c>
      <c r="O948" s="136" t="s">
        <v>1037</v>
      </c>
      <c r="P948" s="130">
        <v>3899114.33</v>
      </c>
      <c r="Q948" s="130">
        <v>0</v>
      </c>
      <c r="R948" s="130">
        <v>0</v>
      </c>
      <c r="S948" s="130">
        <f t="shared" si="332"/>
        <v>3899114.33</v>
      </c>
      <c r="T948" s="130">
        <f t="shared" si="320"/>
        <v>957.09622965708536</v>
      </c>
      <c r="U948" s="130">
        <v>1252.4529909914334</v>
      </c>
    </row>
    <row r="949" spans="1:21" s="64" customFormat="1" ht="36" customHeight="1" x14ac:dyDescent="0.9">
      <c r="A949" s="64">
        <v>1</v>
      </c>
      <c r="B949" s="96">
        <f>SUBTOTAL(103,$A$923:A949)</f>
        <v>27</v>
      </c>
      <c r="C949" s="94" t="s">
        <v>616</v>
      </c>
      <c r="D949" s="138" t="s">
        <v>384</v>
      </c>
      <c r="E949" s="138"/>
      <c r="F949" s="167" t="s">
        <v>319</v>
      </c>
      <c r="G949" s="138" t="s">
        <v>361</v>
      </c>
      <c r="H949" s="138">
        <v>6</v>
      </c>
      <c r="I949" s="129">
        <v>5192.3</v>
      </c>
      <c r="J949" s="129">
        <v>4680.5</v>
      </c>
      <c r="K949" s="129">
        <v>4680.5</v>
      </c>
      <c r="L949" s="139">
        <v>526</v>
      </c>
      <c r="M949" s="138" t="s">
        <v>271</v>
      </c>
      <c r="N949" s="138" t="s">
        <v>275</v>
      </c>
      <c r="O949" s="136" t="s">
        <v>1045</v>
      </c>
      <c r="P949" s="130">
        <v>5613232.8199999994</v>
      </c>
      <c r="Q949" s="130">
        <v>0</v>
      </c>
      <c r="R949" s="130">
        <v>0</v>
      </c>
      <c r="S949" s="130">
        <f t="shared" si="332"/>
        <v>5613232.8199999994</v>
      </c>
      <c r="T949" s="130">
        <f t="shared" si="320"/>
        <v>1081.0686632128343</v>
      </c>
      <c r="U949" s="130">
        <v>1404.3937854130154</v>
      </c>
    </row>
    <row r="950" spans="1:21" s="64" customFormat="1" ht="36" customHeight="1" x14ac:dyDescent="0.9">
      <c r="A950" s="64">
        <v>1</v>
      </c>
      <c r="B950" s="96">
        <f>SUBTOTAL(103,$A$923:A950)</f>
        <v>28</v>
      </c>
      <c r="C950" s="94" t="s">
        <v>617</v>
      </c>
      <c r="D950" s="138" t="s">
        <v>389</v>
      </c>
      <c r="E950" s="138"/>
      <c r="F950" s="167" t="s">
        <v>319</v>
      </c>
      <c r="G950" s="138" t="s">
        <v>361</v>
      </c>
      <c r="H950" s="138">
        <v>4</v>
      </c>
      <c r="I950" s="129">
        <v>3507.7</v>
      </c>
      <c r="J950" s="129">
        <v>3166</v>
      </c>
      <c r="K950" s="129">
        <v>3166</v>
      </c>
      <c r="L950" s="139">
        <v>356</v>
      </c>
      <c r="M950" s="138" t="s">
        <v>271</v>
      </c>
      <c r="N950" s="138" t="s">
        <v>275</v>
      </c>
      <c r="O950" s="136" t="s">
        <v>1045</v>
      </c>
      <c r="P950" s="130">
        <v>3711978.26</v>
      </c>
      <c r="Q950" s="130">
        <v>0</v>
      </c>
      <c r="R950" s="130">
        <v>0</v>
      </c>
      <c r="S950" s="130">
        <f t="shared" si="332"/>
        <v>3711978.26</v>
      </c>
      <c r="T950" s="130">
        <f t="shared" si="320"/>
        <v>1058.2370955326853</v>
      </c>
      <c r="U950" s="130">
        <v>1389.4716914217295</v>
      </c>
    </row>
    <row r="951" spans="1:21" s="64" customFormat="1" ht="36" customHeight="1" x14ac:dyDescent="0.9">
      <c r="A951" s="64">
        <v>1</v>
      </c>
      <c r="B951" s="96">
        <f>SUBTOTAL(103,$A$923:A951)</f>
        <v>29</v>
      </c>
      <c r="C951" s="94" t="s">
        <v>618</v>
      </c>
      <c r="D951" s="138" t="s">
        <v>331</v>
      </c>
      <c r="E951" s="138"/>
      <c r="F951" s="167" t="s">
        <v>319</v>
      </c>
      <c r="G951" s="138" t="s">
        <v>361</v>
      </c>
      <c r="H951" s="138">
        <v>5</v>
      </c>
      <c r="I951" s="129">
        <v>5435.8</v>
      </c>
      <c r="J951" s="129">
        <v>3922.5</v>
      </c>
      <c r="K951" s="129">
        <v>3907.5</v>
      </c>
      <c r="L951" s="139">
        <v>160</v>
      </c>
      <c r="M951" s="138" t="s">
        <v>271</v>
      </c>
      <c r="N951" s="138" t="s">
        <v>275</v>
      </c>
      <c r="O951" s="136" t="s">
        <v>1035</v>
      </c>
      <c r="P951" s="130">
        <v>4866989.0200000005</v>
      </c>
      <c r="Q951" s="130">
        <v>0</v>
      </c>
      <c r="R951" s="130">
        <v>0</v>
      </c>
      <c r="S951" s="130">
        <f t="shared" si="332"/>
        <v>4866989.0200000005</v>
      </c>
      <c r="T951" s="130">
        <f t="shared" si="320"/>
        <v>895.3583685933994</v>
      </c>
      <c r="U951" s="130">
        <v>1166.8745413738548</v>
      </c>
    </row>
    <row r="952" spans="1:21" s="64" customFormat="1" ht="36" customHeight="1" x14ac:dyDescent="0.9">
      <c r="A952" s="64">
        <v>1</v>
      </c>
      <c r="B952" s="96">
        <f>SUBTOTAL(103,$A$923:A952)</f>
        <v>30</v>
      </c>
      <c r="C952" s="94" t="s">
        <v>619</v>
      </c>
      <c r="D952" s="138" t="s">
        <v>370</v>
      </c>
      <c r="E952" s="138"/>
      <c r="F952" s="167" t="s">
        <v>319</v>
      </c>
      <c r="G952" s="138" t="s">
        <v>361</v>
      </c>
      <c r="H952" s="138">
        <v>4</v>
      </c>
      <c r="I952" s="129">
        <v>4425.6000000000004</v>
      </c>
      <c r="J952" s="129">
        <v>3128.2</v>
      </c>
      <c r="K952" s="129">
        <v>1799.3</v>
      </c>
      <c r="L952" s="139">
        <v>137</v>
      </c>
      <c r="M952" s="138" t="s">
        <v>271</v>
      </c>
      <c r="N952" s="138" t="s">
        <v>275</v>
      </c>
      <c r="O952" s="136" t="s">
        <v>1037</v>
      </c>
      <c r="P952" s="130">
        <v>3834609.35</v>
      </c>
      <c r="Q952" s="130">
        <v>0</v>
      </c>
      <c r="R952" s="130">
        <v>0</v>
      </c>
      <c r="S952" s="130">
        <f t="shared" si="332"/>
        <v>3834609.35</v>
      </c>
      <c r="T952" s="130">
        <f t="shared" si="320"/>
        <v>866.46089795733906</v>
      </c>
      <c r="U952" s="130">
        <v>1136.5289949385392</v>
      </c>
    </row>
    <row r="953" spans="1:21" s="64" customFormat="1" ht="36" customHeight="1" x14ac:dyDescent="0.9">
      <c r="A953" s="64">
        <v>1</v>
      </c>
      <c r="B953" s="96">
        <f>SUBTOTAL(103,$A$923:A953)</f>
        <v>31</v>
      </c>
      <c r="C953" s="94" t="s">
        <v>620</v>
      </c>
      <c r="D953" s="138" t="s">
        <v>382</v>
      </c>
      <c r="E953" s="138"/>
      <c r="F953" s="167" t="s">
        <v>319</v>
      </c>
      <c r="G953" s="138" t="s">
        <v>361</v>
      </c>
      <c r="H953" s="138">
        <v>3</v>
      </c>
      <c r="I953" s="129">
        <v>2899.7</v>
      </c>
      <c r="J953" s="129">
        <v>2636.4</v>
      </c>
      <c r="K953" s="129">
        <v>2071.8000000000002</v>
      </c>
      <c r="L953" s="139">
        <v>83</v>
      </c>
      <c r="M953" s="138" t="s">
        <v>271</v>
      </c>
      <c r="N953" s="138" t="s">
        <v>275</v>
      </c>
      <c r="O953" s="136" t="s">
        <v>1035</v>
      </c>
      <c r="P953" s="130">
        <v>2834067.58</v>
      </c>
      <c r="Q953" s="130">
        <v>0</v>
      </c>
      <c r="R953" s="130">
        <v>0</v>
      </c>
      <c r="S953" s="130">
        <f t="shared" si="332"/>
        <v>2834067.58</v>
      </c>
      <c r="T953" s="130">
        <f t="shared" si="320"/>
        <v>977.36578956443782</v>
      </c>
      <c r="U953" s="130">
        <v>1295.7386591716386</v>
      </c>
    </row>
    <row r="954" spans="1:21" s="64" customFormat="1" ht="36" customHeight="1" x14ac:dyDescent="0.9">
      <c r="A954" s="64">
        <v>1</v>
      </c>
      <c r="B954" s="96">
        <f>SUBTOTAL(103,$A$923:A954)</f>
        <v>32</v>
      </c>
      <c r="C954" s="94" t="s">
        <v>621</v>
      </c>
      <c r="D954" s="138">
        <v>1959</v>
      </c>
      <c r="E954" s="138"/>
      <c r="F954" s="167" t="s">
        <v>273</v>
      </c>
      <c r="G954" s="138">
        <v>5</v>
      </c>
      <c r="H954" s="138">
        <v>3</v>
      </c>
      <c r="I954" s="129">
        <v>5255.6</v>
      </c>
      <c r="J954" s="129">
        <v>3803.1</v>
      </c>
      <c r="K954" s="129">
        <v>2288.9</v>
      </c>
      <c r="L954" s="139">
        <v>136</v>
      </c>
      <c r="M954" s="138" t="s">
        <v>271</v>
      </c>
      <c r="N954" s="138" t="s">
        <v>275</v>
      </c>
      <c r="O954" s="136" t="s">
        <v>1037</v>
      </c>
      <c r="P954" s="130">
        <v>6697616.7399999993</v>
      </c>
      <c r="Q954" s="130">
        <v>0</v>
      </c>
      <c r="R954" s="130">
        <v>0</v>
      </c>
      <c r="S954" s="130">
        <f t="shared" si="332"/>
        <v>6697616.7399999993</v>
      </c>
      <c r="T954" s="130">
        <f t="shared" si="320"/>
        <v>1274.3771862394397</v>
      </c>
      <c r="U954" s="130">
        <v>1664.4684945581853</v>
      </c>
    </row>
    <row r="955" spans="1:21" s="64" customFormat="1" ht="36" customHeight="1" x14ac:dyDescent="0.9">
      <c r="A955" s="64">
        <v>1</v>
      </c>
      <c r="B955" s="96">
        <f>SUBTOTAL(103,$A$923:A955)</f>
        <v>33</v>
      </c>
      <c r="C955" s="94" t="s">
        <v>622</v>
      </c>
      <c r="D955" s="138" t="s">
        <v>371</v>
      </c>
      <c r="E955" s="138"/>
      <c r="F955" s="167" t="s">
        <v>273</v>
      </c>
      <c r="G955" s="138" t="s">
        <v>361</v>
      </c>
      <c r="H955" s="138">
        <v>3</v>
      </c>
      <c r="I955" s="129">
        <v>2923.9</v>
      </c>
      <c r="J955" s="129">
        <v>2704.4</v>
      </c>
      <c r="K955" s="129">
        <v>1930.7</v>
      </c>
      <c r="L955" s="139">
        <v>105</v>
      </c>
      <c r="M955" s="138" t="s">
        <v>271</v>
      </c>
      <c r="N955" s="138" t="s">
        <v>275</v>
      </c>
      <c r="O955" s="136" t="s">
        <v>1060</v>
      </c>
      <c r="P955" s="130">
        <v>5163885</v>
      </c>
      <c r="Q955" s="130">
        <v>0</v>
      </c>
      <c r="R955" s="130">
        <v>0</v>
      </c>
      <c r="S955" s="130">
        <f t="shared" si="332"/>
        <v>5163885</v>
      </c>
      <c r="T955" s="130">
        <f t="shared" si="320"/>
        <v>1766.0949416874721</v>
      </c>
      <c r="U955" s="130">
        <v>3776.0888676083314</v>
      </c>
    </row>
    <row r="956" spans="1:21" s="64" customFormat="1" ht="36" customHeight="1" x14ac:dyDescent="0.9">
      <c r="A956" s="64">
        <v>1</v>
      </c>
      <c r="B956" s="96">
        <f>SUBTOTAL(103,$A$923:A956)</f>
        <v>34</v>
      </c>
      <c r="C956" s="94" t="s">
        <v>623</v>
      </c>
      <c r="D956" s="138" t="s">
        <v>321</v>
      </c>
      <c r="E956" s="138"/>
      <c r="F956" s="167" t="s">
        <v>319</v>
      </c>
      <c r="G956" s="138" t="s">
        <v>361</v>
      </c>
      <c r="H956" s="138">
        <v>5</v>
      </c>
      <c r="I956" s="129">
        <v>3950.7</v>
      </c>
      <c r="J956" s="129">
        <v>3460</v>
      </c>
      <c r="K956" s="129">
        <v>3460</v>
      </c>
      <c r="L956" s="139">
        <v>133</v>
      </c>
      <c r="M956" s="138" t="s">
        <v>271</v>
      </c>
      <c r="N956" s="138" t="s">
        <v>275</v>
      </c>
      <c r="O956" s="136" t="s">
        <v>1041</v>
      </c>
      <c r="P956" s="130">
        <v>4343671.0699999994</v>
      </c>
      <c r="Q956" s="130">
        <v>0</v>
      </c>
      <c r="R956" s="130">
        <v>0</v>
      </c>
      <c r="S956" s="130">
        <f t="shared" si="332"/>
        <v>4343671.0699999994</v>
      </c>
      <c r="T956" s="130">
        <f t="shared" si="320"/>
        <v>1099.4687194674361</v>
      </c>
      <c r="U956" s="130">
        <v>1437.0343194876859</v>
      </c>
    </row>
    <row r="957" spans="1:21" s="64" customFormat="1" ht="36" customHeight="1" x14ac:dyDescent="0.9">
      <c r="A957" s="64">
        <v>1</v>
      </c>
      <c r="B957" s="96">
        <f>SUBTOTAL(103,$A$923:A957)</f>
        <v>35</v>
      </c>
      <c r="C957" s="94" t="s">
        <v>624</v>
      </c>
      <c r="D957" s="138" t="s">
        <v>318</v>
      </c>
      <c r="E957" s="138"/>
      <c r="F957" s="167" t="s">
        <v>273</v>
      </c>
      <c r="G957" s="138" t="s">
        <v>361</v>
      </c>
      <c r="H957" s="138">
        <v>4</v>
      </c>
      <c r="I957" s="129">
        <v>3048.2</v>
      </c>
      <c r="J957" s="129">
        <v>2288.5</v>
      </c>
      <c r="K957" s="129">
        <v>2288.5</v>
      </c>
      <c r="L957" s="139">
        <v>98</v>
      </c>
      <c r="M957" s="138" t="s">
        <v>271</v>
      </c>
      <c r="N957" s="138" t="s">
        <v>275</v>
      </c>
      <c r="O957" s="136" t="s">
        <v>848</v>
      </c>
      <c r="P957" s="130">
        <v>2694844.11</v>
      </c>
      <c r="Q957" s="130">
        <v>0</v>
      </c>
      <c r="R957" s="130">
        <v>0</v>
      </c>
      <c r="S957" s="130">
        <f t="shared" si="332"/>
        <v>2694844.11</v>
      </c>
      <c r="T957" s="130">
        <f t="shared" si="320"/>
        <v>884.07719637819037</v>
      </c>
      <c r="U957" s="130">
        <v>1166.1736369004659</v>
      </c>
    </row>
    <row r="958" spans="1:21" s="64" customFormat="1" ht="36" customHeight="1" x14ac:dyDescent="0.9">
      <c r="A958" s="64">
        <v>1</v>
      </c>
      <c r="B958" s="96">
        <f>SUBTOTAL(103,$A$923:A958)</f>
        <v>36</v>
      </c>
      <c r="C958" s="94" t="s">
        <v>625</v>
      </c>
      <c r="D958" s="138">
        <v>1961</v>
      </c>
      <c r="E958" s="138"/>
      <c r="F958" s="167" t="s">
        <v>273</v>
      </c>
      <c r="G958" s="138">
        <v>5</v>
      </c>
      <c r="H958" s="138">
        <v>2</v>
      </c>
      <c r="I958" s="129">
        <v>1703.9</v>
      </c>
      <c r="J958" s="129">
        <v>1558.5</v>
      </c>
      <c r="K958" s="129">
        <v>1516.4</v>
      </c>
      <c r="L958" s="139">
        <v>58</v>
      </c>
      <c r="M958" s="138" t="s">
        <v>271</v>
      </c>
      <c r="N958" s="138" t="s">
        <v>275</v>
      </c>
      <c r="O958" s="136" t="s">
        <v>358</v>
      </c>
      <c r="P958" s="130">
        <v>4820291</v>
      </c>
      <c r="Q958" s="130">
        <v>0</v>
      </c>
      <c r="R958" s="130">
        <v>0</v>
      </c>
      <c r="S958" s="130">
        <f t="shared" si="332"/>
        <v>4820291</v>
      </c>
      <c r="T958" s="130">
        <f t="shared" si="320"/>
        <v>2828.9752919772286</v>
      </c>
      <c r="U958" s="130">
        <v>6011.5196020893245</v>
      </c>
    </row>
    <row r="959" spans="1:21" s="64" customFormat="1" ht="36" customHeight="1" x14ac:dyDescent="0.9">
      <c r="A959" s="64">
        <v>1</v>
      </c>
      <c r="B959" s="96">
        <f>SUBTOTAL(103,$A$923:A959)</f>
        <v>37</v>
      </c>
      <c r="C959" s="94" t="s">
        <v>626</v>
      </c>
      <c r="D959" s="138" t="s">
        <v>390</v>
      </c>
      <c r="E959" s="138"/>
      <c r="F959" s="167" t="s">
        <v>319</v>
      </c>
      <c r="G959" s="138" t="s">
        <v>361</v>
      </c>
      <c r="H959" s="138">
        <v>3</v>
      </c>
      <c r="I959" s="129">
        <v>2812.6</v>
      </c>
      <c r="J959" s="129">
        <v>1169.5</v>
      </c>
      <c r="K959" s="129">
        <v>1169.5</v>
      </c>
      <c r="L959" s="139">
        <v>91</v>
      </c>
      <c r="M959" s="138" t="s">
        <v>271</v>
      </c>
      <c r="N959" s="138" t="s">
        <v>275</v>
      </c>
      <c r="O959" s="136" t="s">
        <v>1047</v>
      </c>
      <c r="P959" s="130">
        <v>2571262.73</v>
      </c>
      <c r="Q959" s="130">
        <v>0</v>
      </c>
      <c r="R959" s="130">
        <v>0</v>
      </c>
      <c r="S959" s="130">
        <f t="shared" si="332"/>
        <v>2571262.73</v>
      </c>
      <c r="T959" s="130">
        <f t="shared" si="320"/>
        <v>914.19424376022187</v>
      </c>
      <c r="U959" s="130">
        <v>1207.974301358174</v>
      </c>
    </row>
    <row r="960" spans="1:21" s="64" customFormat="1" ht="36" customHeight="1" x14ac:dyDescent="0.9">
      <c r="A960" s="64">
        <v>1</v>
      </c>
      <c r="B960" s="96">
        <f>SUBTOTAL(103,$A$923:A960)</f>
        <v>38</v>
      </c>
      <c r="C960" s="94" t="s">
        <v>627</v>
      </c>
      <c r="D960" s="138">
        <v>1972</v>
      </c>
      <c r="E960" s="138"/>
      <c r="F960" s="167" t="s">
        <v>273</v>
      </c>
      <c r="G960" s="138">
        <v>9</v>
      </c>
      <c r="H960" s="138">
        <v>1</v>
      </c>
      <c r="I960" s="129">
        <v>1896.4</v>
      </c>
      <c r="J960" s="129">
        <v>1896.4</v>
      </c>
      <c r="K960" s="129">
        <v>1859.1</v>
      </c>
      <c r="L960" s="139">
        <v>135</v>
      </c>
      <c r="M960" s="138" t="s">
        <v>271</v>
      </c>
      <c r="N960" s="138" t="s">
        <v>275</v>
      </c>
      <c r="O960" s="136" t="s">
        <v>357</v>
      </c>
      <c r="P960" s="130">
        <v>1989100.53</v>
      </c>
      <c r="Q960" s="130">
        <v>0</v>
      </c>
      <c r="R960" s="130">
        <v>0</v>
      </c>
      <c r="S960" s="130">
        <f t="shared" si="332"/>
        <v>1989100.53</v>
      </c>
      <c r="T960" s="130">
        <f t="shared" si="320"/>
        <v>1048.8823718624762</v>
      </c>
      <c r="U960" s="130">
        <v>1275.1444842860155</v>
      </c>
    </row>
    <row r="961" spans="1:21" s="64" customFormat="1" ht="36" customHeight="1" x14ac:dyDescent="0.9">
      <c r="A961" s="64">
        <v>1</v>
      </c>
      <c r="B961" s="96">
        <f>SUBTOTAL(103,$A$923:A961)</f>
        <v>39</v>
      </c>
      <c r="C961" s="94" t="s">
        <v>628</v>
      </c>
      <c r="D961" s="138" t="s">
        <v>324</v>
      </c>
      <c r="E961" s="138"/>
      <c r="F961" s="167" t="s">
        <v>319</v>
      </c>
      <c r="G961" s="138" t="s">
        <v>361</v>
      </c>
      <c r="H961" s="138">
        <v>4</v>
      </c>
      <c r="I961" s="129">
        <v>3873.3</v>
      </c>
      <c r="J961" s="129">
        <v>3605.48</v>
      </c>
      <c r="K961" s="129">
        <v>3540.2</v>
      </c>
      <c r="L961" s="139">
        <v>165</v>
      </c>
      <c r="M961" s="138" t="s">
        <v>271</v>
      </c>
      <c r="N961" s="138" t="s">
        <v>275</v>
      </c>
      <c r="O961" s="136" t="s">
        <v>1035</v>
      </c>
      <c r="P961" s="130">
        <v>4272967.33</v>
      </c>
      <c r="Q961" s="130">
        <v>0</v>
      </c>
      <c r="R961" s="130">
        <v>0</v>
      </c>
      <c r="S961" s="130">
        <f t="shared" si="332"/>
        <v>4272967.33</v>
      </c>
      <c r="T961" s="130">
        <f t="shared" si="320"/>
        <v>1103.1852244855806</v>
      </c>
      <c r="U961" s="130">
        <v>1498.3713112849507</v>
      </c>
    </row>
    <row r="962" spans="1:21" s="64" customFormat="1" ht="36" customHeight="1" x14ac:dyDescent="0.9">
      <c r="A962" s="64">
        <v>1</v>
      </c>
      <c r="B962" s="96">
        <f>SUBTOTAL(103,$A$923:A962)</f>
        <v>40</v>
      </c>
      <c r="C962" s="94" t="s">
        <v>629</v>
      </c>
      <c r="D962" s="138" t="s">
        <v>391</v>
      </c>
      <c r="E962" s="138"/>
      <c r="F962" s="167" t="s">
        <v>319</v>
      </c>
      <c r="G962" s="138" t="s">
        <v>361</v>
      </c>
      <c r="H962" s="138">
        <v>4</v>
      </c>
      <c r="I962" s="129">
        <v>3881.3</v>
      </c>
      <c r="J962" s="129">
        <v>3615.9</v>
      </c>
      <c r="K962" s="129">
        <v>3551.2</v>
      </c>
      <c r="L962" s="139">
        <v>182</v>
      </c>
      <c r="M962" s="138" t="s">
        <v>271</v>
      </c>
      <c r="N962" s="138" t="s">
        <v>275</v>
      </c>
      <c r="O962" s="136" t="s">
        <v>1035</v>
      </c>
      <c r="P962" s="130">
        <v>4272967.33</v>
      </c>
      <c r="Q962" s="130">
        <v>0</v>
      </c>
      <c r="R962" s="130">
        <v>0</v>
      </c>
      <c r="S962" s="130">
        <f t="shared" si="332"/>
        <v>4272967.33</v>
      </c>
      <c r="T962" s="130">
        <f t="shared" si="320"/>
        <v>1100.9113776312061</v>
      </c>
      <c r="U962" s="130">
        <v>1495.2829206709091</v>
      </c>
    </row>
    <row r="963" spans="1:21" s="64" customFormat="1" ht="36" customHeight="1" x14ac:dyDescent="0.9">
      <c r="A963" s="64">
        <v>1</v>
      </c>
      <c r="B963" s="96">
        <f>SUBTOTAL(103,$A$923:A963)</f>
        <v>41</v>
      </c>
      <c r="C963" s="94" t="s">
        <v>630</v>
      </c>
      <c r="D963" s="138" t="s">
        <v>360</v>
      </c>
      <c r="E963" s="138"/>
      <c r="F963" s="167" t="s">
        <v>273</v>
      </c>
      <c r="G963" s="138" t="s">
        <v>367</v>
      </c>
      <c r="H963" s="138">
        <v>1</v>
      </c>
      <c r="I963" s="129">
        <v>2154.4</v>
      </c>
      <c r="J963" s="129">
        <v>1835.8</v>
      </c>
      <c r="K963" s="129">
        <v>1783.4</v>
      </c>
      <c r="L963" s="139">
        <v>76</v>
      </c>
      <c r="M963" s="138" t="s">
        <v>271</v>
      </c>
      <c r="N963" s="138" t="s">
        <v>275</v>
      </c>
      <c r="O963" s="136" t="s">
        <v>848</v>
      </c>
      <c r="P963" s="130">
        <v>1633943.5899999999</v>
      </c>
      <c r="Q963" s="130">
        <v>0</v>
      </c>
      <c r="R963" s="130">
        <v>0</v>
      </c>
      <c r="S963" s="130">
        <f t="shared" si="332"/>
        <v>1633943.5899999999</v>
      </c>
      <c r="T963" s="130">
        <f t="shared" si="320"/>
        <v>758.42164407723715</v>
      </c>
      <c r="U963" s="130">
        <v>1023.6649684366878</v>
      </c>
    </row>
    <row r="964" spans="1:21" s="64" customFormat="1" ht="36" customHeight="1" x14ac:dyDescent="0.9">
      <c r="A964" s="64">
        <v>1</v>
      </c>
      <c r="B964" s="96">
        <f>SUBTOTAL(103,$A$923:A964)</f>
        <v>42</v>
      </c>
      <c r="C964" s="94" t="s">
        <v>631</v>
      </c>
      <c r="D964" s="138" t="s">
        <v>392</v>
      </c>
      <c r="E964" s="138"/>
      <c r="F964" s="167" t="s">
        <v>319</v>
      </c>
      <c r="G964" s="138" t="s">
        <v>361</v>
      </c>
      <c r="H964" s="138">
        <v>4</v>
      </c>
      <c r="I964" s="129">
        <v>3888.9</v>
      </c>
      <c r="J964" s="129">
        <v>3557.1</v>
      </c>
      <c r="K964" s="129">
        <v>3511.4</v>
      </c>
      <c r="L964" s="139">
        <v>169</v>
      </c>
      <c r="M964" s="138" t="s">
        <v>271</v>
      </c>
      <c r="N964" s="138" t="s">
        <v>275</v>
      </c>
      <c r="O964" s="136" t="s">
        <v>1035</v>
      </c>
      <c r="P964" s="130">
        <v>4272967.33</v>
      </c>
      <c r="Q964" s="130">
        <v>0</v>
      </c>
      <c r="R964" s="130">
        <v>0</v>
      </c>
      <c r="S964" s="130">
        <f t="shared" si="332"/>
        <v>4272967.33</v>
      </c>
      <c r="T964" s="130">
        <f t="shared" si="320"/>
        <v>1098.7598884003189</v>
      </c>
      <c r="U964" s="130">
        <v>1492.3607189693741</v>
      </c>
    </row>
    <row r="965" spans="1:21" s="64" customFormat="1" ht="36" customHeight="1" x14ac:dyDescent="0.9">
      <c r="A965" s="64">
        <v>1</v>
      </c>
      <c r="B965" s="96">
        <f>SUBTOTAL(103,$A$923:A965)</f>
        <v>43</v>
      </c>
      <c r="C965" s="94" t="s">
        <v>632</v>
      </c>
      <c r="D965" s="138" t="s">
        <v>392</v>
      </c>
      <c r="E965" s="138"/>
      <c r="F965" s="167" t="s">
        <v>319</v>
      </c>
      <c r="G965" s="138" t="s">
        <v>361</v>
      </c>
      <c r="H965" s="138">
        <v>4</v>
      </c>
      <c r="I965" s="129">
        <v>3854.3</v>
      </c>
      <c r="J965" s="129">
        <v>3599.34</v>
      </c>
      <c r="K965" s="129">
        <v>3550.2</v>
      </c>
      <c r="L965" s="139">
        <v>173</v>
      </c>
      <c r="M965" s="138" t="s">
        <v>271</v>
      </c>
      <c r="N965" s="138" t="s">
        <v>275</v>
      </c>
      <c r="O965" s="136" t="s">
        <v>1035</v>
      </c>
      <c r="P965" s="130">
        <v>4272967.33</v>
      </c>
      <c r="Q965" s="130">
        <v>0</v>
      </c>
      <c r="R965" s="130">
        <v>0</v>
      </c>
      <c r="S965" s="130">
        <f t="shared" si="332"/>
        <v>4272967.33</v>
      </c>
      <c r="T965" s="130">
        <f t="shared" si="320"/>
        <v>1108.6234413512182</v>
      </c>
      <c r="U965" s="130">
        <v>1505.7576213579637</v>
      </c>
    </row>
    <row r="966" spans="1:21" s="64" customFormat="1" ht="36" customHeight="1" x14ac:dyDescent="0.9">
      <c r="A966" s="64">
        <v>1</v>
      </c>
      <c r="B966" s="96">
        <f>SUBTOTAL(103,$A$923:A966)</f>
        <v>44</v>
      </c>
      <c r="C966" s="94" t="s">
        <v>633</v>
      </c>
      <c r="D966" s="138" t="s">
        <v>386</v>
      </c>
      <c r="E966" s="138"/>
      <c r="F966" s="167" t="s">
        <v>273</v>
      </c>
      <c r="G966" s="138" t="s">
        <v>361</v>
      </c>
      <c r="H966" s="138">
        <v>3</v>
      </c>
      <c r="I966" s="129">
        <v>2600.9</v>
      </c>
      <c r="J966" s="129">
        <v>2217.3000000000002</v>
      </c>
      <c r="K966" s="129">
        <v>2217.3000000000002</v>
      </c>
      <c r="L966" s="139">
        <v>72</v>
      </c>
      <c r="M966" s="138" t="s">
        <v>271</v>
      </c>
      <c r="N966" s="138" t="s">
        <v>275</v>
      </c>
      <c r="O966" s="136" t="s">
        <v>1039</v>
      </c>
      <c r="P966" s="130">
        <v>3064601.1799999997</v>
      </c>
      <c r="Q966" s="130">
        <v>0</v>
      </c>
      <c r="R966" s="130">
        <v>0</v>
      </c>
      <c r="S966" s="130">
        <f t="shared" si="332"/>
        <v>3064601.1799999997</v>
      </c>
      <c r="T966" s="130">
        <f t="shared" si="320"/>
        <v>1178.2848936906453</v>
      </c>
      <c r="U966" s="130">
        <v>1557.3294628782344</v>
      </c>
    </row>
    <row r="967" spans="1:21" s="64" customFormat="1" ht="36" customHeight="1" x14ac:dyDescent="0.9">
      <c r="A967" s="64">
        <v>1</v>
      </c>
      <c r="B967" s="96">
        <f>SUBTOTAL(103,$A$923:A967)</f>
        <v>45</v>
      </c>
      <c r="C967" s="94" t="s">
        <v>634</v>
      </c>
      <c r="D967" s="138" t="s">
        <v>381</v>
      </c>
      <c r="E967" s="138"/>
      <c r="F967" s="167" t="s">
        <v>273</v>
      </c>
      <c r="G967" s="138" t="s">
        <v>361</v>
      </c>
      <c r="H967" s="138">
        <v>1</v>
      </c>
      <c r="I967" s="129">
        <v>1129.8</v>
      </c>
      <c r="J967" s="129">
        <v>1033.3</v>
      </c>
      <c r="K967" s="129">
        <v>841.7</v>
      </c>
      <c r="L967" s="139">
        <v>41</v>
      </c>
      <c r="M967" s="138" t="s">
        <v>271</v>
      </c>
      <c r="N967" s="138" t="s">
        <v>275</v>
      </c>
      <c r="O967" s="136" t="s">
        <v>358</v>
      </c>
      <c r="P967" s="130">
        <v>1046986.94</v>
      </c>
      <c r="Q967" s="130">
        <v>0</v>
      </c>
      <c r="R967" s="130">
        <v>0</v>
      </c>
      <c r="S967" s="130">
        <f t="shared" si="332"/>
        <v>1046986.94</v>
      </c>
      <c r="T967" s="130">
        <f t="shared" si="320"/>
        <v>926.70113294388386</v>
      </c>
      <c r="U967" s="130">
        <v>1257.4642414586654</v>
      </c>
    </row>
    <row r="968" spans="1:21" s="64" customFormat="1" ht="36" customHeight="1" x14ac:dyDescent="0.9">
      <c r="A968" s="64">
        <v>1</v>
      </c>
      <c r="B968" s="96">
        <f>SUBTOTAL(103,$A$923:A968)</f>
        <v>46</v>
      </c>
      <c r="C968" s="94" t="s">
        <v>635</v>
      </c>
      <c r="D968" s="138" t="s">
        <v>317</v>
      </c>
      <c r="E968" s="138"/>
      <c r="F968" s="167" t="s">
        <v>319</v>
      </c>
      <c r="G968" s="138" t="s">
        <v>361</v>
      </c>
      <c r="H968" s="138">
        <v>4</v>
      </c>
      <c r="I968" s="129">
        <v>4027.5</v>
      </c>
      <c r="J968" s="129">
        <v>3035.5</v>
      </c>
      <c r="K968" s="129">
        <v>3037.2</v>
      </c>
      <c r="L968" s="139">
        <v>135</v>
      </c>
      <c r="M968" s="138" t="s">
        <v>271</v>
      </c>
      <c r="N968" s="138" t="s">
        <v>275</v>
      </c>
      <c r="O968" s="136" t="s">
        <v>1036</v>
      </c>
      <c r="P968" s="130">
        <v>3516149.44</v>
      </c>
      <c r="Q968" s="130">
        <v>0</v>
      </c>
      <c r="R968" s="130">
        <v>0</v>
      </c>
      <c r="S968" s="130">
        <f t="shared" si="332"/>
        <v>3516149.44</v>
      </c>
      <c r="T968" s="130">
        <f t="shared" si="320"/>
        <v>873.03524270639355</v>
      </c>
      <c r="U968" s="130">
        <v>1148.2996648044693</v>
      </c>
    </row>
    <row r="969" spans="1:21" s="64" customFormat="1" ht="36" customHeight="1" x14ac:dyDescent="0.9">
      <c r="A969" s="64">
        <v>1</v>
      </c>
      <c r="B969" s="96">
        <f>SUBTOTAL(103,$A$923:A969)</f>
        <v>47</v>
      </c>
      <c r="C969" s="94" t="s">
        <v>636</v>
      </c>
      <c r="D969" s="138" t="s">
        <v>317</v>
      </c>
      <c r="E969" s="138"/>
      <c r="F969" s="167" t="s">
        <v>319</v>
      </c>
      <c r="G969" s="138" t="s">
        <v>361</v>
      </c>
      <c r="H969" s="138">
        <v>4</v>
      </c>
      <c r="I969" s="129">
        <v>4003.9</v>
      </c>
      <c r="J969" s="129">
        <v>3006.9</v>
      </c>
      <c r="K969" s="129">
        <v>2831.8</v>
      </c>
      <c r="L969" s="139">
        <v>130</v>
      </c>
      <c r="M969" s="138" t="s">
        <v>271</v>
      </c>
      <c r="N969" s="138" t="s">
        <v>275</v>
      </c>
      <c r="O969" s="136" t="s">
        <v>1036</v>
      </c>
      <c r="P969" s="130">
        <v>3493334.35</v>
      </c>
      <c r="Q969" s="130">
        <v>0</v>
      </c>
      <c r="R969" s="130">
        <v>0</v>
      </c>
      <c r="S969" s="130">
        <f t="shared" si="332"/>
        <v>3493334.35</v>
      </c>
      <c r="T969" s="130">
        <f t="shared" si="320"/>
        <v>872.48291665626016</v>
      </c>
      <c r="U969" s="130">
        <v>1147.8205479657336</v>
      </c>
    </row>
    <row r="970" spans="1:21" s="64" customFormat="1" ht="36" customHeight="1" x14ac:dyDescent="0.9">
      <c r="A970" s="64">
        <v>1</v>
      </c>
      <c r="B970" s="96">
        <f>SUBTOTAL(103,$A$923:A970)</f>
        <v>48</v>
      </c>
      <c r="C970" s="94" t="s">
        <v>637</v>
      </c>
      <c r="D970" s="138" t="s">
        <v>321</v>
      </c>
      <c r="E970" s="138"/>
      <c r="F970" s="167" t="s">
        <v>319</v>
      </c>
      <c r="G970" s="138" t="s">
        <v>367</v>
      </c>
      <c r="H970" s="138">
        <v>2</v>
      </c>
      <c r="I970" s="129">
        <v>4844.7</v>
      </c>
      <c r="J970" s="129">
        <v>3843.1</v>
      </c>
      <c r="K970" s="129">
        <v>3763.6</v>
      </c>
      <c r="L970" s="139">
        <v>150</v>
      </c>
      <c r="M970" s="138" t="s">
        <v>271</v>
      </c>
      <c r="N970" s="138" t="s">
        <v>275</v>
      </c>
      <c r="O970" s="136" t="s">
        <v>1036</v>
      </c>
      <c r="P970" s="130">
        <v>2597653.14</v>
      </c>
      <c r="Q970" s="130">
        <v>0</v>
      </c>
      <c r="R970" s="130">
        <v>0</v>
      </c>
      <c r="S970" s="130">
        <f t="shared" si="332"/>
        <v>2597653.14</v>
      </c>
      <c r="T970" s="130">
        <f t="shared" si="320"/>
        <v>536.1845191652734</v>
      </c>
      <c r="U970" s="130">
        <v>713.47084640947844</v>
      </c>
    </row>
    <row r="971" spans="1:21" s="64" customFormat="1" ht="36" customHeight="1" x14ac:dyDescent="0.9">
      <c r="A971" s="64">
        <v>1</v>
      </c>
      <c r="B971" s="96">
        <f>SUBTOTAL(103,$A$923:A971)</f>
        <v>49</v>
      </c>
      <c r="C971" s="94" t="s">
        <v>1459</v>
      </c>
      <c r="D971" s="138">
        <v>1976</v>
      </c>
      <c r="E971" s="138"/>
      <c r="F971" s="167" t="s">
        <v>273</v>
      </c>
      <c r="G971" s="138">
        <v>5</v>
      </c>
      <c r="H971" s="138">
        <v>10</v>
      </c>
      <c r="I971" s="129">
        <v>8213.9</v>
      </c>
      <c r="J971" s="129">
        <v>7350.9</v>
      </c>
      <c r="K971" s="129">
        <v>6661.1</v>
      </c>
      <c r="L971" s="139">
        <v>418</v>
      </c>
      <c r="M971" s="138" t="s">
        <v>271</v>
      </c>
      <c r="N971" s="138" t="s">
        <v>275</v>
      </c>
      <c r="O971" s="136" t="s">
        <v>1476</v>
      </c>
      <c r="P971" s="130">
        <v>7840331.7599999998</v>
      </c>
      <c r="Q971" s="130">
        <v>0</v>
      </c>
      <c r="R971" s="130">
        <v>0</v>
      </c>
      <c r="S971" s="130">
        <f t="shared" si="332"/>
        <v>7840331.7599999998</v>
      </c>
      <c r="T971" s="130">
        <f t="shared" si="320"/>
        <v>954.51999172135038</v>
      </c>
      <c r="U971" s="130">
        <v>1703.1123388402586</v>
      </c>
    </row>
    <row r="972" spans="1:21" s="64" customFormat="1" ht="36" customHeight="1" x14ac:dyDescent="0.9">
      <c r="A972" s="64">
        <v>1</v>
      </c>
      <c r="B972" s="96">
        <f>SUBTOTAL(103,$A$923:A972)</f>
        <v>50</v>
      </c>
      <c r="C972" s="94" t="s">
        <v>638</v>
      </c>
      <c r="D972" s="138" t="s">
        <v>337</v>
      </c>
      <c r="E972" s="138"/>
      <c r="F972" s="167" t="s">
        <v>273</v>
      </c>
      <c r="G972" s="138" t="s">
        <v>376</v>
      </c>
      <c r="H972" s="138">
        <v>3</v>
      </c>
      <c r="I972" s="129">
        <v>3521.2</v>
      </c>
      <c r="J972" s="129">
        <v>3000</v>
      </c>
      <c r="K972" s="129">
        <v>2890.8</v>
      </c>
      <c r="L972" s="139">
        <v>100</v>
      </c>
      <c r="M972" s="138" t="s">
        <v>271</v>
      </c>
      <c r="N972" s="138" t="s">
        <v>303</v>
      </c>
      <c r="O972" s="136" t="s">
        <v>393</v>
      </c>
      <c r="P972" s="130">
        <v>6342333</v>
      </c>
      <c r="Q972" s="130">
        <v>0</v>
      </c>
      <c r="R972" s="130">
        <v>0</v>
      </c>
      <c r="S972" s="130">
        <f t="shared" si="332"/>
        <v>6342333</v>
      </c>
      <c r="T972" s="130">
        <f t="shared" si="320"/>
        <v>1801.1851073497671</v>
      </c>
      <c r="U972" s="130">
        <v>2074.5615131205273</v>
      </c>
    </row>
    <row r="973" spans="1:21" s="64" customFormat="1" ht="36" customHeight="1" x14ac:dyDescent="0.9">
      <c r="A973" s="64">
        <v>1</v>
      </c>
      <c r="B973" s="96">
        <f>SUBTOTAL(103,$A$923:A973)</f>
        <v>51</v>
      </c>
      <c r="C973" s="94" t="s">
        <v>639</v>
      </c>
      <c r="D973" s="138" t="s">
        <v>331</v>
      </c>
      <c r="E973" s="138"/>
      <c r="F973" s="167" t="s">
        <v>319</v>
      </c>
      <c r="G973" s="138" t="s">
        <v>361</v>
      </c>
      <c r="H973" s="138">
        <v>4</v>
      </c>
      <c r="I973" s="129">
        <v>4258.1000000000004</v>
      </c>
      <c r="J973" s="129">
        <v>3136.3</v>
      </c>
      <c r="K973" s="129">
        <v>1795.5</v>
      </c>
      <c r="L973" s="139">
        <v>159</v>
      </c>
      <c r="M973" s="138" t="s">
        <v>271</v>
      </c>
      <c r="N973" s="138" t="s">
        <v>275</v>
      </c>
      <c r="O973" s="136" t="s">
        <v>1061</v>
      </c>
      <c r="P973" s="130">
        <v>4404985.5199999996</v>
      </c>
      <c r="Q973" s="130">
        <v>0</v>
      </c>
      <c r="R973" s="130">
        <v>0</v>
      </c>
      <c r="S973" s="130">
        <f t="shared" si="332"/>
        <v>4404985.5199999996</v>
      </c>
      <c r="T973" s="130">
        <f t="shared" si="320"/>
        <v>1034.4955543552287</v>
      </c>
      <c r="U973" s="130">
        <v>1351.6070360019726</v>
      </c>
    </row>
    <row r="974" spans="1:21" s="64" customFormat="1" ht="36" customHeight="1" x14ac:dyDescent="0.9">
      <c r="A974" s="64">
        <v>1</v>
      </c>
      <c r="B974" s="96">
        <f>SUBTOTAL(103,$A$923:A974)</f>
        <v>52</v>
      </c>
      <c r="C974" s="94" t="s">
        <v>640</v>
      </c>
      <c r="D974" s="138" t="s">
        <v>394</v>
      </c>
      <c r="E974" s="138"/>
      <c r="F974" s="167" t="s">
        <v>319</v>
      </c>
      <c r="G974" s="138" t="s">
        <v>361</v>
      </c>
      <c r="H974" s="138">
        <v>5</v>
      </c>
      <c r="I974" s="129">
        <v>7097.9</v>
      </c>
      <c r="J974" s="129">
        <v>6283.6</v>
      </c>
      <c r="K974" s="129">
        <v>3449.7</v>
      </c>
      <c r="L974" s="139">
        <v>347</v>
      </c>
      <c r="M974" s="138" t="s">
        <v>271</v>
      </c>
      <c r="N974" s="138" t="s">
        <v>275</v>
      </c>
      <c r="O974" s="136" t="s">
        <v>1062</v>
      </c>
      <c r="P974" s="130">
        <v>7371186.2199999997</v>
      </c>
      <c r="Q974" s="130">
        <v>0</v>
      </c>
      <c r="R974" s="130">
        <v>0</v>
      </c>
      <c r="S974" s="130">
        <f t="shared" si="332"/>
        <v>7371186.2199999997</v>
      </c>
      <c r="T974" s="130">
        <f t="shared" ref="T974:T1037" si="333">P974/I974</f>
        <v>1038.5024049366714</v>
      </c>
      <c r="U974" s="130">
        <v>1385.586487270883</v>
      </c>
    </row>
    <row r="975" spans="1:21" s="64" customFormat="1" ht="36" customHeight="1" x14ac:dyDescent="0.9">
      <c r="A975" s="64">
        <v>1</v>
      </c>
      <c r="B975" s="96">
        <f>SUBTOTAL(103,$A$923:A975)</f>
        <v>53</v>
      </c>
      <c r="C975" s="94" t="s">
        <v>641</v>
      </c>
      <c r="D975" s="138">
        <v>1981</v>
      </c>
      <c r="E975" s="138"/>
      <c r="F975" s="167" t="s">
        <v>273</v>
      </c>
      <c r="G975" s="138">
        <v>2</v>
      </c>
      <c r="H975" s="138">
        <v>3</v>
      </c>
      <c r="I975" s="129">
        <v>940.2</v>
      </c>
      <c r="J975" s="129">
        <v>850.3</v>
      </c>
      <c r="K975" s="129">
        <v>850.3</v>
      </c>
      <c r="L975" s="139">
        <v>29</v>
      </c>
      <c r="M975" s="138" t="s">
        <v>271</v>
      </c>
      <c r="N975" s="138" t="s">
        <v>275</v>
      </c>
      <c r="O975" s="136" t="s">
        <v>1148</v>
      </c>
      <c r="P975" s="130">
        <v>3550462.6100000003</v>
      </c>
      <c r="Q975" s="130">
        <v>0</v>
      </c>
      <c r="R975" s="130">
        <v>0</v>
      </c>
      <c r="S975" s="130">
        <f t="shared" si="332"/>
        <v>3550462.6100000003</v>
      </c>
      <c r="T975" s="130">
        <f t="shared" si="333"/>
        <v>3776.284418208892</v>
      </c>
      <c r="U975" s="130">
        <v>5189.0519831950642</v>
      </c>
    </row>
    <row r="976" spans="1:21" s="64" customFormat="1" ht="36" customHeight="1" x14ac:dyDescent="0.9">
      <c r="A976" s="64">
        <v>1</v>
      </c>
      <c r="B976" s="96">
        <f>SUBTOTAL(103,$A$923:A976)</f>
        <v>54</v>
      </c>
      <c r="C976" s="94" t="s">
        <v>642</v>
      </c>
      <c r="D976" s="138">
        <v>1994</v>
      </c>
      <c r="E976" s="138"/>
      <c r="F976" s="167" t="s">
        <v>273</v>
      </c>
      <c r="G976" s="138">
        <v>3</v>
      </c>
      <c r="H976" s="138">
        <v>2</v>
      </c>
      <c r="I976" s="129">
        <v>1489.9</v>
      </c>
      <c r="J976" s="129">
        <v>1353.2</v>
      </c>
      <c r="K976" s="129">
        <v>1353.2</v>
      </c>
      <c r="L976" s="139">
        <v>72</v>
      </c>
      <c r="M976" s="138" t="s">
        <v>271</v>
      </c>
      <c r="N976" s="138" t="s">
        <v>275</v>
      </c>
      <c r="O976" s="136" t="s">
        <v>1148</v>
      </c>
      <c r="P976" s="130">
        <v>4265711.66</v>
      </c>
      <c r="Q976" s="130">
        <v>0</v>
      </c>
      <c r="R976" s="130">
        <v>0</v>
      </c>
      <c r="S976" s="130">
        <f t="shared" si="332"/>
        <v>4265711.66</v>
      </c>
      <c r="T976" s="130">
        <f t="shared" si="333"/>
        <v>2863.0858849587221</v>
      </c>
      <c r="U976" s="130">
        <v>3956.1873280085911</v>
      </c>
    </row>
    <row r="977" spans="1:21" s="64" customFormat="1" ht="36" customHeight="1" x14ac:dyDescent="0.9">
      <c r="A977" s="64">
        <v>1</v>
      </c>
      <c r="B977" s="96">
        <f>SUBTOTAL(103,$A$923:A977)</f>
        <v>55</v>
      </c>
      <c r="C977" s="94" t="s">
        <v>643</v>
      </c>
      <c r="D977" s="138" t="s">
        <v>360</v>
      </c>
      <c r="E977" s="138"/>
      <c r="F977" s="167" t="s">
        <v>319</v>
      </c>
      <c r="G977" s="138" t="s">
        <v>361</v>
      </c>
      <c r="H977" s="138">
        <v>4</v>
      </c>
      <c r="I977" s="129">
        <v>4064.4</v>
      </c>
      <c r="J977" s="129">
        <v>3058.6</v>
      </c>
      <c r="K977" s="129">
        <v>2912</v>
      </c>
      <c r="L977" s="139">
        <v>130</v>
      </c>
      <c r="M977" s="138" t="s">
        <v>271</v>
      </c>
      <c r="N977" s="138" t="s">
        <v>275</v>
      </c>
      <c r="O977" s="136" t="s">
        <v>1036</v>
      </c>
      <c r="P977" s="130">
        <v>3545858.66</v>
      </c>
      <c r="Q977" s="130">
        <v>0</v>
      </c>
      <c r="R977" s="130">
        <v>0</v>
      </c>
      <c r="S977" s="130">
        <f t="shared" si="332"/>
        <v>3545858.66</v>
      </c>
      <c r="T977" s="130">
        <f t="shared" si="333"/>
        <v>872.4187235508316</v>
      </c>
      <c r="U977" s="130">
        <v>1147.1708062690682</v>
      </c>
    </row>
    <row r="978" spans="1:21" s="64" customFormat="1" ht="36" customHeight="1" x14ac:dyDescent="0.9">
      <c r="A978" s="64">
        <v>1</v>
      </c>
      <c r="B978" s="96">
        <f>SUBTOTAL(103,$A$923:A978)</f>
        <v>56</v>
      </c>
      <c r="C978" s="94" t="s">
        <v>644</v>
      </c>
      <c r="D978" s="138" t="s">
        <v>382</v>
      </c>
      <c r="E978" s="138"/>
      <c r="F978" s="167" t="s">
        <v>319</v>
      </c>
      <c r="G978" s="138" t="s">
        <v>361</v>
      </c>
      <c r="H978" s="138">
        <v>5</v>
      </c>
      <c r="I978" s="129">
        <v>5067.1000000000004</v>
      </c>
      <c r="J978" s="129">
        <v>3815.6</v>
      </c>
      <c r="K978" s="129">
        <v>3768.9</v>
      </c>
      <c r="L978" s="139">
        <v>158</v>
      </c>
      <c r="M978" s="138" t="s">
        <v>271</v>
      </c>
      <c r="N978" s="138" t="s">
        <v>275</v>
      </c>
      <c r="O978" s="136" t="s">
        <v>1036</v>
      </c>
      <c r="P978" s="130">
        <v>4460834.87</v>
      </c>
      <c r="Q978" s="130">
        <v>0</v>
      </c>
      <c r="R978" s="130">
        <v>0</v>
      </c>
      <c r="S978" s="130">
        <f t="shared" si="332"/>
        <v>4460834.87</v>
      </c>
      <c r="T978" s="130">
        <f t="shared" si="333"/>
        <v>880.35264155039363</v>
      </c>
      <c r="U978" s="130">
        <v>1149.8316739357817</v>
      </c>
    </row>
    <row r="979" spans="1:21" s="64" customFormat="1" ht="36" customHeight="1" x14ac:dyDescent="0.9">
      <c r="A979" s="64">
        <v>1</v>
      </c>
      <c r="B979" s="96">
        <f>SUBTOTAL(103,$A$923:A979)</f>
        <v>57</v>
      </c>
      <c r="C979" s="94" t="s">
        <v>515</v>
      </c>
      <c r="D979" s="138">
        <v>1995</v>
      </c>
      <c r="E979" s="138"/>
      <c r="F979" s="167" t="s">
        <v>273</v>
      </c>
      <c r="G979" s="138">
        <v>9</v>
      </c>
      <c r="H979" s="138">
        <v>1</v>
      </c>
      <c r="I979" s="129">
        <v>6176.6</v>
      </c>
      <c r="J979" s="129">
        <v>4705.1000000000004</v>
      </c>
      <c r="K979" s="129">
        <v>4212.5</v>
      </c>
      <c r="L979" s="139">
        <v>299</v>
      </c>
      <c r="M979" s="138" t="s">
        <v>271</v>
      </c>
      <c r="N979" s="138" t="s">
        <v>275</v>
      </c>
      <c r="O979" s="136" t="s">
        <v>1035</v>
      </c>
      <c r="P979" s="130">
        <v>2100000</v>
      </c>
      <c r="Q979" s="130">
        <v>0</v>
      </c>
      <c r="R979" s="130">
        <v>0</v>
      </c>
      <c r="S979" s="130">
        <f t="shared" si="332"/>
        <v>2100000</v>
      </c>
      <c r="T979" s="130">
        <f t="shared" si="333"/>
        <v>339.99287633973381</v>
      </c>
      <c r="U979" s="130">
        <v>364.00333516821553</v>
      </c>
    </row>
    <row r="980" spans="1:21" s="64" customFormat="1" ht="36" customHeight="1" x14ac:dyDescent="0.9">
      <c r="A980" s="64">
        <v>1</v>
      </c>
      <c r="B980" s="96">
        <f>SUBTOTAL(103,$A$923:A980)</f>
        <v>58</v>
      </c>
      <c r="C980" s="94" t="s">
        <v>1134</v>
      </c>
      <c r="D980" s="138">
        <v>1990</v>
      </c>
      <c r="E980" s="138"/>
      <c r="F980" s="167" t="s">
        <v>273</v>
      </c>
      <c r="G980" s="138">
        <v>9</v>
      </c>
      <c r="H980" s="138">
        <v>4</v>
      </c>
      <c r="I980" s="129">
        <v>11085.8</v>
      </c>
      <c r="J980" s="129">
        <v>9319.2999999999993</v>
      </c>
      <c r="K980" s="129">
        <v>5667.8</v>
      </c>
      <c r="L980" s="139">
        <v>446</v>
      </c>
      <c r="M980" s="138" t="s">
        <v>271</v>
      </c>
      <c r="N980" s="138" t="s">
        <v>275</v>
      </c>
      <c r="O980" s="136" t="s">
        <v>1141</v>
      </c>
      <c r="P980" s="130">
        <v>6300000</v>
      </c>
      <c r="Q980" s="130">
        <v>0</v>
      </c>
      <c r="R980" s="130">
        <v>0</v>
      </c>
      <c r="S980" s="130">
        <f t="shared" si="332"/>
        <v>6300000</v>
      </c>
      <c r="T980" s="130">
        <f t="shared" si="333"/>
        <v>568.29457504194556</v>
      </c>
      <c r="U980" s="130">
        <v>608.42780854787213</v>
      </c>
    </row>
    <row r="981" spans="1:21" s="64" customFormat="1" ht="36" customHeight="1" x14ac:dyDescent="0.9">
      <c r="B981" s="94" t="s">
        <v>799</v>
      </c>
      <c r="C981" s="126"/>
      <c r="D981" s="138" t="s">
        <v>934</v>
      </c>
      <c r="E981" s="138" t="s">
        <v>934</v>
      </c>
      <c r="F981" s="138" t="s">
        <v>934</v>
      </c>
      <c r="G981" s="138" t="s">
        <v>934</v>
      </c>
      <c r="H981" s="138" t="s">
        <v>934</v>
      </c>
      <c r="I981" s="129">
        <f>SUM(I982:I995)</f>
        <v>15288.199999999999</v>
      </c>
      <c r="J981" s="129">
        <f t="shared" ref="J981:L981" si="334">SUM(J982:J995)</f>
        <v>14328.2</v>
      </c>
      <c r="K981" s="129">
        <f t="shared" si="334"/>
        <v>13096.3</v>
      </c>
      <c r="L981" s="139">
        <f t="shared" si="334"/>
        <v>768</v>
      </c>
      <c r="M981" s="138" t="s">
        <v>934</v>
      </c>
      <c r="N981" s="138" t="s">
        <v>934</v>
      </c>
      <c r="O981" s="136" t="s">
        <v>934</v>
      </c>
      <c r="P981" s="129">
        <v>45048314.759999998</v>
      </c>
      <c r="Q981" s="129">
        <f t="shared" ref="Q981:S981" si="335">SUM(Q982:Q995)</f>
        <v>0</v>
      </c>
      <c r="R981" s="129">
        <f t="shared" si="335"/>
        <v>0</v>
      </c>
      <c r="S981" s="129">
        <f t="shared" si="335"/>
        <v>45048314.759999998</v>
      </c>
      <c r="T981" s="130">
        <f t="shared" si="333"/>
        <v>2946.6068444944467</v>
      </c>
      <c r="U981" s="130">
        <f>MAX(U982:U995)</f>
        <v>7375.5768730650161</v>
      </c>
    </row>
    <row r="982" spans="1:21" s="64" customFormat="1" ht="36" customHeight="1" x14ac:dyDescent="0.9">
      <c r="A982" s="64">
        <v>1</v>
      </c>
      <c r="B982" s="96">
        <f>SUBTOTAL(103,$A$923:A982)</f>
        <v>59</v>
      </c>
      <c r="C982" s="94" t="s">
        <v>485</v>
      </c>
      <c r="D982" s="138">
        <v>1962</v>
      </c>
      <c r="E982" s="138"/>
      <c r="F982" s="167" t="s">
        <v>273</v>
      </c>
      <c r="G982" s="138">
        <v>2</v>
      </c>
      <c r="H982" s="138">
        <v>2</v>
      </c>
      <c r="I982" s="129">
        <v>835.9</v>
      </c>
      <c r="J982" s="129">
        <v>784.2</v>
      </c>
      <c r="K982" s="129">
        <v>715.8</v>
      </c>
      <c r="L982" s="139">
        <v>47</v>
      </c>
      <c r="M982" s="138" t="s">
        <v>271</v>
      </c>
      <c r="N982" s="138" t="s">
        <v>272</v>
      </c>
      <c r="O982" s="136" t="s">
        <v>274</v>
      </c>
      <c r="P982" s="130">
        <v>3951259.39</v>
      </c>
      <c r="Q982" s="130">
        <v>0</v>
      </c>
      <c r="R982" s="130">
        <v>0</v>
      </c>
      <c r="S982" s="130">
        <f t="shared" ref="S982:S994" si="336">P982-Q982-R982</f>
        <v>3951259.39</v>
      </c>
      <c r="T982" s="130">
        <f t="shared" si="333"/>
        <v>4726.9522550544325</v>
      </c>
      <c r="U982" s="130">
        <v>4726.9522550544325</v>
      </c>
    </row>
    <row r="983" spans="1:21" s="64" customFormat="1" ht="36" customHeight="1" x14ac:dyDescent="0.9">
      <c r="A983" s="64">
        <v>1</v>
      </c>
      <c r="B983" s="96">
        <f>SUBTOTAL(103,$A$923:A983)</f>
        <v>60</v>
      </c>
      <c r="C983" s="94" t="s">
        <v>486</v>
      </c>
      <c r="D983" s="138">
        <v>1959</v>
      </c>
      <c r="E983" s="138"/>
      <c r="F983" s="167" t="s">
        <v>273</v>
      </c>
      <c r="G983" s="138">
        <v>2</v>
      </c>
      <c r="H983" s="138">
        <v>2</v>
      </c>
      <c r="I983" s="129">
        <v>611</v>
      </c>
      <c r="J983" s="129">
        <v>564.20000000000005</v>
      </c>
      <c r="K983" s="129">
        <v>492.1</v>
      </c>
      <c r="L983" s="139">
        <v>36</v>
      </c>
      <c r="M983" s="138" t="s">
        <v>271</v>
      </c>
      <c r="N983" s="138" t="s">
        <v>275</v>
      </c>
      <c r="O983" s="136" t="s">
        <v>355</v>
      </c>
      <c r="P983" s="130">
        <v>2999201</v>
      </c>
      <c r="Q983" s="130">
        <v>0</v>
      </c>
      <c r="R983" s="130">
        <v>0</v>
      </c>
      <c r="S983" s="130">
        <f t="shared" si="336"/>
        <v>2999201</v>
      </c>
      <c r="T983" s="130">
        <f t="shared" si="333"/>
        <v>4908.675941080196</v>
      </c>
      <c r="U983" s="130">
        <v>5412.2203273322421</v>
      </c>
    </row>
    <row r="984" spans="1:21" s="64" customFormat="1" ht="36" customHeight="1" x14ac:dyDescent="0.9">
      <c r="A984" s="64">
        <v>1</v>
      </c>
      <c r="B984" s="96">
        <f>SUBTOTAL(103,$A$923:A984)</f>
        <v>61</v>
      </c>
      <c r="C984" s="94" t="s">
        <v>487</v>
      </c>
      <c r="D984" s="138">
        <v>1960</v>
      </c>
      <c r="E984" s="138"/>
      <c r="F984" s="167" t="s">
        <v>273</v>
      </c>
      <c r="G984" s="138">
        <v>2</v>
      </c>
      <c r="H984" s="138">
        <v>2</v>
      </c>
      <c r="I984" s="129">
        <v>551.9</v>
      </c>
      <c r="J984" s="129">
        <v>506.9</v>
      </c>
      <c r="K984" s="129">
        <v>404</v>
      </c>
      <c r="L984" s="139">
        <v>27</v>
      </c>
      <c r="M984" s="138" t="s">
        <v>271</v>
      </c>
      <c r="N984" s="138" t="s">
        <v>289</v>
      </c>
      <c r="O984" s="136" t="s">
        <v>274</v>
      </c>
      <c r="P984" s="130">
        <v>2584541.12</v>
      </c>
      <c r="Q984" s="130">
        <v>0</v>
      </c>
      <c r="R984" s="130">
        <v>0</v>
      </c>
      <c r="S984" s="130">
        <f t="shared" si="336"/>
        <v>2584541.12</v>
      </c>
      <c r="T984" s="130">
        <f t="shared" si="333"/>
        <v>4682.9880775502816</v>
      </c>
      <c r="U984" s="130">
        <v>5402.4657945279941</v>
      </c>
    </row>
    <row r="985" spans="1:21" s="64" customFormat="1" ht="36" customHeight="1" x14ac:dyDescent="0.9">
      <c r="A985" s="64">
        <v>1</v>
      </c>
      <c r="B985" s="96">
        <f>SUBTOTAL(103,$A$923:A985)</f>
        <v>62</v>
      </c>
      <c r="C985" s="94" t="s">
        <v>488</v>
      </c>
      <c r="D985" s="138">
        <v>1968</v>
      </c>
      <c r="E985" s="138"/>
      <c r="F985" s="167" t="s">
        <v>273</v>
      </c>
      <c r="G985" s="138">
        <v>5</v>
      </c>
      <c r="H985" s="138">
        <v>4</v>
      </c>
      <c r="I985" s="129">
        <v>3425.4</v>
      </c>
      <c r="J985" s="129">
        <v>3171</v>
      </c>
      <c r="K985" s="129">
        <v>2995.5</v>
      </c>
      <c r="L985" s="139">
        <v>208</v>
      </c>
      <c r="M985" s="138" t="s">
        <v>271</v>
      </c>
      <c r="N985" s="138" t="s">
        <v>272</v>
      </c>
      <c r="O985" s="136" t="s">
        <v>274</v>
      </c>
      <c r="P985" s="130">
        <v>6581549.3999999994</v>
      </c>
      <c r="Q985" s="130">
        <v>0</v>
      </c>
      <c r="R985" s="130">
        <v>0</v>
      </c>
      <c r="S985" s="130">
        <f t="shared" si="336"/>
        <v>6581549.3999999994</v>
      </c>
      <c r="T985" s="130">
        <f t="shared" si="333"/>
        <v>1921.3958661762128</v>
      </c>
      <c r="U985" s="130">
        <v>1994.3276113738541</v>
      </c>
    </row>
    <row r="986" spans="1:21" s="64" customFormat="1" ht="36" customHeight="1" x14ac:dyDescent="0.9">
      <c r="A986" s="64">
        <v>1</v>
      </c>
      <c r="B986" s="96">
        <f>SUBTOTAL(103,$A$923:A986)</f>
        <v>63</v>
      </c>
      <c r="C986" s="94" t="s">
        <v>489</v>
      </c>
      <c r="D986" s="138">
        <v>1966</v>
      </c>
      <c r="E986" s="138"/>
      <c r="F986" s="167" t="s">
        <v>273</v>
      </c>
      <c r="G986" s="138">
        <v>5</v>
      </c>
      <c r="H986" s="138">
        <v>3</v>
      </c>
      <c r="I986" s="129">
        <v>2555.3000000000002</v>
      </c>
      <c r="J986" s="129">
        <v>2523.1</v>
      </c>
      <c r="K986" s="129">
        <v>2195.4</v>
      </c>
      <c r="L986" s="139">
        <v>137</v>
      </c>
      <c r="M986" s="138" t="s">
        <v>271</v>
      </c>
      <c r="N986" s="138" t="s">
        <v>272</v>
      </c>
      <c r="O986" s="136" t="s">
        <v>274</v>
      </c>
      <c r="P986" s="130">
        <v>4737312</v>
      </c>
      <c r="Q986" s="130">
        <v>0</v>
      </c>
      <c r="R986" s="130">
        <v>0</v>
      </c>
      <c r="S986" s="130">
        <f t="shared" si="336"/>
        <v>4737312</v>
      </c>
      <c r="T986" s="130">
        <f t="shared" si="333"/>
        <v>1853.9161742261181</v>
      </c>
      <c r="U986" s="130">
        <v>2044.0955817320862</v>
      </c>
    </row>
    <row r="987" spans="1:21" s="64" customFormat="1" ht="36" customHeight="1" x14ac:dyDescent="0.9">
      <c r="A987" s="64">
        <v>1</v>
      </c>
      <c r="B987" s="96">
        <f>SUBTOTAL(103,$A$923:A987)</f>
        <v>64</v>
      </c>
      <c r="C987" s="94" t="s">
        <v>490</v>
      </c>
      <c r="D987" s="138">
        <v>1964</v>
      </c>
      <c r="E987" s="138">
        <v>2008</v>
      </c>
      <c r="F987" s="167" t="s">
        <v>273</v>
      </c>
      <c r="G987" s="138">
        <v>4</v>
      </c>
      <c r="H987" s="138">
        <v>2</v>
      </c>
      <c r="I987" s="129">
        <v>1368.5</v>
      </c>
      <c r="J987" s="129">
        <v>1271.5</v>
      </c>
      <c r="K987" s="129">
        <v>1271.5</v>
      </c>
      <c r="L987" s="139">
        <v>43</v>
      </c>
      <c r="M987" s="138" t="s">
        <v>271</v>
      </c>
      <c r="N987" s="138" t="s">
        <v>353</v>
      </c>
      <c r="O987" s="136" t="s">
        <v>354</v>
      </c>
      <c r="P987" s="130">
        <v>491510.45999999996</v>
      </c>
      <c r="Q987" s="130">
        <v>0</v>
      </c>
      <c r="R987" s="130">
        <v>0</v>
      </c>
      <c r="S987" s="130">
        <f t="shared" si="336"/>
        <v>491510.45999999996</v>
      </c>
      <c r="T987" s="130">
        <f t="shared" si="333"/>
        <v>359.15999999999997</v>
      </c>
      <c r="U987" s="130">
        <v>359.15999999999997</v>
      </c>
    </row>
    <row r="988" spans="1:21" s="64" customFormat="1" ht="36" customHeight="1" x14ac:dyDescent="0.9">
      <c r="A988" s="64">
        <v>1</v>
      </c>
      <c r="B988" s="96">
        <f>SUBTOTAL(103,$A$923:A988)</f>
        <v>65</v>
      </c>
      <c r="C988" s="94" t="s">
        <v>491</v>
      </c>
      <c r="D988" s="138">
        <v>1960</v>
      </c>
      <c r="E988" s="138"/>
      <c r="F988" s="167" t="s">
        <v>273</v>
      </c>
      <c r="G988" s="138">
        <v>2</v>
      </c>
      <c r="H988" s="138">
        <v>2</v>
      </c>
      <c r="I988" s="129">
        <v>694.3</v>
      </c>
      <c r="J988" s="129">
        <v>646.1</v>
      </c>
      <c r="K988" s="129">
        <v>646.1</v>
      </c>
      <c r="L988" s="139">
        <v>42</v>
      </c>
      <c r="M988" s="138" t="s">
        <v>271</v>
      </c>
      <c r="N988" s="138" t="s">
        <v>272</v>
      </c>
      <c r="O988" s="136" t="s">
        <v>274</v>
      </c>
      <c r="P988" s="130">
        <v>3422817.5799999996</v>
      </c>
      <c r="Q988" s="130">
        <v>0</v>
      </c>
      <c r="R988" s="130">
        <v>0</v>
      </c>
      <c r="S988" s="130">
        <f t="shared" si="336"/>
        <v>3422817.5799999996</v>
      </c>
      <c r="T988" s="130">
        <f t="shared" si="333"/>
        <v>4929.8827308080081</v>
      </c>
      <c r="U988" s="130">
        <v>5435.6025631571374</v>
      </c>
    </row>
    <row r="989" spans="1:21" s="64" customFormat="1" ht="36" customHeight="1" x14ac:dyDescent="0.9">
      <c r="A989" s="64">
        <v>1</v>
      </c>
      <c r="B989" s="96">
        <f>SUBTOTAL(103,$A$923:A989)</f>
        <v>66</v>
      </c>
      <c r="C989" s="94" t="s">
        <v>492</v>
      </c>
      <c r="D989" s="138">
        <v>1961</v>
      </c>
      <c r="E989" s="138"/>
      <c r="F989" s="167" t="s">
        <v>273</v>
      </c>
      <c r="G989" s="138">
        <v>2</v>
      </c>
      <c r="H989" s="138">
        <v>2</v>
      </c>
      <c r="I989" s="129">
        <v>579.4</v>
      </c>
      <c r="J989" s="129">
        <v>538.1</v>
      </c>
      <c r="K989" s="129">
        <v>470.3</v>
      </c>
      <c r="L989" s="139">
        <v>35</v>
      </c>
      <c r="M989" s="138" t="s">
        <v>271</v>
      </c>
      <c r="N989" s="138" t="s">
        <v>289</v>
      </c>
      <c r="O989" s="136" t="s">
        <v>274</v>
      </c>
      <c r="P989" s="130">
        <v>2888444.4</v>
      </c>
      <c r="Q989" s="130">
        <v>0</v>
      </c>
      <c r="R989" s="130">
        <v>0</v>
      </c>
      <c r="S989" s="130">
        <f t="shared" si="336"/>
        <v>2888444.4</v>
      </c>
      <c r="T989" s="130">
        <f t="shared" si="333"/>
        <v>4985.2336900241626</v>
      </c>
      <c r="U989" s="130">
        <v>5496.631563686572</v>
      </c>
    </row>
    <row r="990" spans="1:21" s="64" customFormat="1" ht="36" customHeight="1" x14ac:dyDescent="0.9">
      <c r="A990" s="64">
        <v>1</v>
      </c>
      <c r="B990" s="96">
        <f>SUBTOTAL(103,$A$923:A990)</f>
        <v>67</v>
      </c>
      <c r="C990" s="94" t="s">
        <v>493</v>
      </c>
      <c r="D990" s="138">
        <v>1960</v>
      </c>
      <c r="E990" s="138"/>
      <c r="F990" s="167" t="s">
        <v>273</v>
      </c>
      <c r="G990" s="138">
        <v>2</v>
      </c>
      <c r="H990" s="138">
        <v>2</v>
      </c>
      <c r="I990" s="129">
        <v>591.29999999999995</v>
      </c>
      <c r="J990" s="129">
        <v>542.9</v>
      </c>
      <c r="K990" s="129">
        <v>477.6</v>
      </c>
      <c r="L990" s="139">
        <v>27</v>
      </c>
      <c r="M990" s="138" t="s">
        <v>271</v>
      </c>
      <c r="N990" s="138" t="s">
        <v>272</v>
      </c>
      <c r="O990" s="136" t="s">
        <v>274</v>
      </c>
      <c r="P990" s="130">
        <v>3422817.5799999996</v>
      </c>
      <c r="Q990" s="130">
        <v>0</v>
      </c>
      <c r="R990" s="130">
        <v>0</v>
      </c>
      <c r="S990" s="130">
        <f t="shared" si="336"/>
        <v>3422817.5799999996</v>
      </c>
      <c r="T990" s="130">
        <f t="shared" si="333"/>
        <v>5788.6311178758669</v>
      </c>
      <c r="U990" s="130">
        <v>6382.4435305259603</v>
      </c>
    </row>
    <row r="991" spans="1:21" s="64" customFormat="1" ht="36" customHeight="1" x14ac:dyDescent="0.9">
      <c r="A991" s="64">
        <v>1</v>
      </c>
      <c r="B991" s="96">
        <f>SUBTOTAL(103,$A$923:A991)</f>
        <v>68</v>
      </c>
      <c r="C991" s="94" t="s">
        <v>494</v>
      </c>
      <c r="D991" s="138">
        <v>1962</v>
      </c>
      <c r="E991" s="138"/>
      <c r="F991" s="167" t="s">
        <v>273</v>
      </c>
      <c r="G991" s="138">
        <v>2</v>
      </c>
      <c r="H991" s="138">
        <v>2</v>
      </c>
      <c r="I991" s="129">
        <v>588.1</v>
      </c>
      <c r="J991" s="129">
        <v>540</v>
      </c>
      <c r="K991" s="129">
        <v>500</v>
      </c>
      <c r="L991" s="139">
        <v>26</v>
      </c>
      <c r="M991" s="138" t="s">
        <v>271</v>
      </c>
      <c r="N991" s="138" t="s">
        <v>272</v>
      </c>
      <c r="O991" s="136" t="s">
        <v>274</v>
      </c>
      <c r="P991" s="130">
        <v>3106903.4</v>
      </c>
      <c r="Q991" s="130">
        <v>0</v>
      </c>
      <c r="R991" s="130">
        <v>0</v>
      </c>
      <c r="S991" s="130">
        <f t="shared" si="336"/>
        <v>3106903.4</v>
      </c>
      <c r="T991" s="130">
        <f t="shared" si="333"/>
        <v>5282.9508586974998</v>
      </c>
      <c r="U991" s="130">
        <v>5600.8652967182452</v>
      </c>
    </row>
    <row r="992" spans="1:21" s="64" customFormat="1" ht="36" customHeight="1" x14ac:dyDescent="0.9">
      <c r="A992" s="64">
        <v>1</v>
      </c>
      <c r="B992" s="96">
        <f>SUBTOTAL(103,$A$923:A992)</f>
        <v>69</v>
      </c>
      <c r="C992" s="94" t="s">
        <v>495</v>
      </c>
      <c r="D992" s="138">
        <v>1958</v>
      </c>
      <c r="E992" s="138"/>
      <c r="F992" s="167" t="s">
        <v>273</v>
      </c>
      <c r="G992" s="138">
        <v>2</v>
      </c>
      <c r="H992" s="138">
        <v>1</v>
      </c>
      <c r="I992" s="129">
        <v>714.4</v>
      </c>
      <c r="J992" s="129">
        <v>687.7</v>
      </c>
      <c r="K992" s="129">
        <v>565.79999999999995</v>
      </c>
      <c r="L992" s="139">
        <v>17</v>
      </c>
      <c r="M992" s="138" t="s">
        <v>271</v>
      </c>
      <c r="N992" s="138" t="s">
        <v>349</v>
      </c>
      <c r="O992" s="136" t="s">
        <v>351</v>
      </c>
      <c r="P992" s="130">
        <v>2847699.39</v>
      </c>
      <c r="Q992" s="130">
        <v>0</v>
      </c>
      <c r="R992" s="130">
        <v>0</v>
      </c>
      <c r="S992" s="130">
        <f t="shared" si="336"/>
        <v>2847699.39</v>
      </c>
      <c r="T992" s="130">
        <f t="shared" si="333"/>
        <v>3986.1413633818593</v>
      </c>
      <c r="U992" s="130">
        <v>4315.7679171332593</v>
      </c>
    </row>
    <row r="993" spans="1:21" s="64" customFormat="1" ht="36" customHeight="1" x14ac:dyDescent="0.9">
      <c r="A993" s="64">
        <v>1</v>
      </c>
      <c r="B993" s="96">
        <f>SUBTOTAL(103,$A$923:A993)</f>
        <v>70</v>
      </c>
      <c r="C993" s="94" t="s">
        <v>496</v>
      </c>
      <c r="D993" s="138">
        <v>1965</v>
      </c>
      <c r="E993" s="138"/>
      <c r="F993" s="167" t="s">
        <v>273</v>
      </c>
      <c r="G993" s="138">
        <v>4</v>
      </c>
      <c r="H993" s="138">
        <v>3</v>
      </c>
      <c r="I993" s="129">
        <v>2028.5</v>
      </c>
      <c r="J993" s="129">
        <v>1881.3</v>
      </c>
      <c r="K993" s="129">
        <v>1691</v>
      </c>
      <c r="L993" s="139">
        <v>86</v>
      </c>
      <c r="M993" s="138" t="s">
        <v>271</v>
      </c>
      <c r="N993" s="138" t="s">
        <v>275</v>
      </c>
      <c r="O993" s="136" t="s">
        <v>348</v>
      </c>
      <c r="P993" s="130">
        <v>3110189.0700000003</v>
      </c>
      <c r="Q993" s="130">
        <v>0</v>
      </c>
      <c r="R993" s="130">
        <v>0</v>
      </c>
      <c r="S993" s="130">
        <f t="shared" si="336"/>
        <v>3110189.0700000003</v>
      </c>
      <c r="T993" s="130">
        <f t="shared" si="333"/>
        <v>1533.2457825979789</v>
      </c>
      <c r="U993" s="130">
        <v>1630.2029184126202</v>
      </c>
    </row>
    <row r="994" spans="1:21" s="64" customFormat="1" ht="36" customHeight="1" x14ac:dyDescent="0.9">
      <c r="A994" s="64">
        <v>1</v>
      </c>
      <c r="B994" s="96">
        <f>SUBTOTAL(103,$A$923:A994)</f>
        <v>71</v>
      </c>
      <c r="C994" s="94" t="s">
        <v>497</v>
      </c>
      <c r="D994" s="138">
        <v>1951</v>
      </c>
      <c r="E994" s="138"/>
      <c r="F994" s="167" t="s">
        <v>332</v>
      </c>
      <c r="G994" s="138">
        <v>2</v>
      </c>
      <c r="H994" s="138">
        <v>2</v>
      </c>
      <c r="I994" s="129">
        <v>421.2</v>
      </c>
      <c r="J994" s="129">
        <v>379.5</v>
      </c>
      <c r="K994" s="129">
        <v>379.5</v>
      </c>
      <c r="L994" s="139">
        <v>21</v>
      </c>
      <c r="M994" s="138" t="s">
        <v>271</v>
      </c>
      <c r="N994" s="138" t="s">
        <v>272</v>
      </c>
      <c r="O994" s="136" t="s">
        <v>274</v>
      </c>
      <c r="P994" s="130">
        <v>2521758.64</v>
      </c>
      <c r="Q994" s="130">
        <v>0</v>
      </c>
      <c r="R994" s="130">
        <v>0</v>
      </c>
      <c r="S994" s="130">
        <f t="shared" si="336"/>
        <v>2521758.64</v>
      </c>
      <c r="T994" s="130">
        <f t="shared" si="333"/>
        <v>5987.0812915479582</v>
      </c>
      <c r="U994" s="130">
        <v>5987.0812915479582</v>
      </c>
    </row>
    <row r="995" spans="1:21" s="64" customFormat="1" ht="36" customHeight="1" x14ac:dyDescent="0.9">
      <c r="A995" s="64">
        <v>1</v>
      </c>
      <c r="B995" s="96">
        <f>SUBTOTAL(103,$A$923:A995)</f>
        <v>72</v>
      </c>
      <c r="C995" s="94" t="s">
        <v>1693</v>
      </c>
      <c r="D995" s="138">
        <v>1967</v>
      </c>
      <c r="E995" s="138"/>
      <c r="F995" s="167" t="s">
        <v>1697</v>
      </c>
      <c r="G995" s="138">
        <v>2</v>
      </c>
      <c r="H995" s="138">
        <v>2</v>
      </c>
      <c r="I995" s="129">
        <v>323</v>
      </c>
      <c r="J995" s="129">
        <v>291.7</v>
      </c>
      <c r="K995" s="129">
        <f>J995</f>
        <v>291.7</v>
      </c>
      <c r="L995" s="139">
        <v>16</v>
      </c>
      <c r="M995" s="138" t="s">
        <v>271</v>
      </c>
      <c r="N995" s="138" t="s">
        <v>272</v>
      </c>
      <c r="O995" s="136" t="s">
        <v>274</v>
      </c>
      <c r="P995" s="130">
        <v>2382311.33</v>
      </c>
      <c r="Q995" s="130">
        <v>0</v>
      </c>
      <c r="R995" s="130">
        <v>0</v>
      </c>
      <c r="S995" s="130">
        <f>P995-Q995-R995</f>
        <v>2382311.33</v>
      </c>
      <c r="T995" s="130">
        <f t="shared" si="333"/>
        <v>7375.5768730650161</v>
      </c>
      <c r="U995" s="130">
        <f>T995</f>
        <v>7375.5768730650161</v>
      </c>
    </row>
    <row r="996" spans="1:21" s="64" customFormat="1" ht="36" customHeight="1" x14ac:dyDescent="0.9">
      <c r="B996" s="94" t="s">
        <v>800</v>
      </c>
      <c r="C996" s="126"/>
      <c r="D996" s="138" t="s">
        <v>934</v>
      </c>
      <c r="E996" s="138" t="s">
        <v>934</v>
      </c>
      <c r="F996" s="138" t="s">
        <v>934</v>
      </c>
      <c r="G996" s="138" t="s">
        <v>934</v>
      </c>
      <c r="H996" s="138" t="s">
        <v>934</v>
      </c>
      <c r="I996" s="129">
        <f>SUM(I997:I1023)</f>
        <v>55301.200000000004</v>
      </c>
      <c r="J996" s="129">
        <f t="shared" ref="J996:L996" si="337">SUM(J997:J1023)</f>
        <v>48016.490000000005</v>
      </c>
      <c r="K996" s="129">
        <f t="shared" si="337"/>
        <v>44250.389999999985</v>
      </c>
      <c r="L996" s="139">
        <f t="shared" si="337"/>
        <v>2316</v>
      </c>
      <c r="M996" s="138" t="s">
        <v>934</v>
      </c>
      <c r="N996" s="138" t="s">
        <v>934</v>
      </c>
      <c r="O996" s="136" t="s">
        <v>934</v>
      </c>
      <c r="P996" s="129">
        <v>91626897.959999993</v>
      </c>
      <c r="Q996" s="129">
        <f t="shared" ref="Q996:S996" si="338">SUM(Q997:Q1023)</f>
        <v>0</v>
      </c>
      <c r="R996" s="129">
        <f t="shared" si="338"/>
        <v>0</v>
      </c>
      <c r="S996" s="129">
        <f t="shared" si="338"/>
        <v>91626897.959999993</v>
      </c>
      <c r="T996" s="130">
        <f t="shared" si="333"/>
        <v>1656.869976781697</v>
      </c>
      <c r="U996" s="130">
        <f>MAX(U997:U1023)</f>
        <v>6863.7838791009908</v>
      </c>
    </row>
    <row r="997" spans="1:21" s="64" customFormat="1" ht="36" customHeight="1" x14ac:dyDescent="0.9">
      <c r="A997" s="64">
        <v>1</v>
      </c>
      <c r="B997" s="96">
        <f>SUBTOTAL(103,$A$923:A997)</f>
        <v>73</v>
      </c>
      <c r="C997" s="94" t="s">
        <v>440</v>
      </c>
      <c r="D997" s="138">
        <v>1959</v>
      </c>
      <c r="E997" s="138"/>
      <c r="F997" s="167" t="s">
        <v>273</v>
      </c>
      <c r="G997" s="138">
        <v>3</v>
      </c>
      <c r="H997" s="138">
        <v>4</v>
      </c>
      <c r="I997" s="129">
        <v>2095.6</v>
      </c>
      <c r="J997" s="129">
        <v>1915.7</v>
      </c>
      <c r="K997" s="129">
        <v>1915.7</v>
      </c>
      <c r="L997" s="139">
        <v>69</v>
      </c>
      <c r="M997" s="138" t="s">
        <v>271</v>
      </c>
      <c r="N997" s="138" t="s">
        <v>275</v>
      </c>
      <c r="O997" s="136" t="s">
        <v>333</v>
      </c>
      <c r="P997" s="130">
        <v>4337224.8899999997</v>
      </c>
      <c r="Q997" s="130">
        <v>0</v>
      </c>
      <c r="R997" s="130">
        <v>0</v>
      </c>
      <c r="S997" s="130">
        <f t="shared" ref="S997:S1023" si="339">P997-Q997-R997</f>
        <v>4337224.8899999997</v>
      </c>
      <c r="T997" s="130">
        <f t="shared" si="333"/>
        <v>2069.6816615766365</v>
      </c>
      <c r="U997" s="130">
        <v>2682.896449704142</v>
      </c>
    </row>
    <row r="998" spans="1:21" s="64" customFormat="1" ht="36" customHeight="1" x14ac:dyDescent="0.9">
      <c r="A998" s="64">
        <v>1</v>
      </c>
      <c r="B998" s="96">
        <f>SUBTOTAL(103,$A$923:A998)</f>
        <v>74</v>
      </c>
      <c r="C998" s="94" t="s">
        <v>441</v>
      </c>
      <c r="D998" s="138">
        <v>1989</v>
      </c>
      <c r="E998" s="138"/>
      <c r="F998" s="167" t="s">
        <v>273</v>
      </c>
      <c r="G998" s="138">
        <v>5</v>
      </c>
      <c r="H998" s="138">
        <v>3</v>
      </c>
      <c r="I998" s="129">
        <v>2042.1</v>
      </c>
      <c r="J998" s="129">
        <v>1708.9</v>
      </c>
      <c r="K998" s="129">
        <v>1675.9</v>
      </c>
      <c r="L998" s="139">
        <v>86</v>
      </c>
      <c r="M998" s="138" t="s">
        <v>271</v>
      </c>
      <c r="N998" s="138" t="s">
        <v>275</v>
      </c>
      <c r="O998" s="136" t="s">
        <v>1052</v>
      </c>
      <c r="P998" s="130">
        <v>2714283.9</v>
      </c>
      <c r="Q998" s="130">
        <v>0</v>
      </c>
      <c r="R998" s="130">
        <v>0</v>
      </c>
      <c r="S998" s="130">
        <f t="shared" si="339"/>
        <v>2714283.9</v>
      </c>
      <c r="T998" s="130">
        <f t="shared" si="333"/>
        <v>1329.1630674305861</v>
      </c>
      <c r="U998" s="130">
        <v>1758.4855002203615</v>
      </c>
    </row>
    <row r="999" spans="1:21" s="64" customFormat="1" ht="36" customHeight="1" x14ac:dyDescent="0.9">
      <c r="A999" s="64">
        <v>1</v>
      </c>
      <c r="B999" s="96">
        <f>SUBTOTAL(103,$A$923:A999)</f>
        <v>75</v>
      </c>
      <c r="C999" s="94" t="s">
        <v>442</v>
      </c>
      <c r="D999" s="138">
        <v>1972</v>
      </c>
      <c r="E999" s="138"/>
      <c r="F999" s="167" t="s">
        <v>273</v>
      </c>
      <c r="G999" s="138">
        <v>5</v>
      </c>
      <c r="H999" s="138">
        <v>4</v>
      </c>
      <c r="I999" s="129">
        <v>3577.12</v>
      </c>
      <c r="J999" s="129">
        <v>3193.8</v>
      </c>
      <c r="K999" s="129">
        <v>2940.98</v>
      </c>
      <c r="L999" s="139">
        <v>152</v>
      </c>
      <c r="M999" s="138" t="s">
        <v>271</v>
      </c>
      <c r="N999" s="138" t="s">
        <v>275</v>
      </c>
      <c r="O999" s="136" t="s">
        <v>336</v>
      </c>
      <c r="P999" s="130">
        <v>5214319.6899999995</v>
      </c>
      <c r="Q999" s="130">
        <v>0</v>
      </c>
      <c r="R999" s="130">
        <v>0</v>
      </c>
      <c r="S999" s="130">
        <f t="shared" si="339"/>
        <v>5214319.6899999995</v>
      </c>
      <c r="T999" s="130">
        <f t="shared" si="333"/>
        <v>1457.6865439236033</v>
      </c>
      <c r="U999" s="130">
        <v>1889.4597553338999</v>
      </c>
    </row>
    <row r="1000" spans="1:21" s="64" customFormat="1" ht="36" customHeight="1" x14ac:dyDescent="0.9">
      <c r="A1000" s="64">
        <v>1</v>
      </c>
      <c r="B1000" s="96">
        <f>SUBTOTAL(103,$A$923:A1000)</f>
        <v>76</v>
      </c>
      <c r="C1000" s="94" t="s">
        <v>443</v>
      </c>
      <c r="D1000" s="138">
        <v>1955</v>
      </c>
      <c r="E1000" s="138"/>
      <c r="F1000" s="167" t="s">
        <v>273</v>
      </c>
      <c r="G1000" s="138">
        <v>2</v>
      </c>
      <c r="H1000" s="138">
        <v>3</v>
      </c>
      <c r="I1000" s="129">
        <v>1501.5</v>
      </c>
      <c r="J1000" s="129">
        <v>1386.8</v>
      </c>
      <c r="K1000" s="129">
        <v>1250.54</v>
      </c>
      <c r="L1000" s="139">
        <v>57</v>
      </c>
      <c r="M1000" s="138" t="s">
        <v>271</v>
      </c>
      <c r="N1000" s="138" t="s">
        <v>275</v>
      </c>
      <c r="O1000" s="136" t="s">
        <v>336</v>
      </c>
      <c r="P1000" s="130">
        <v>5749950</v>
      </c>
      <c r="Q1000" s="130">
        <v>0</v>
      </c>
      <c r="R1000" s="130">
        <v>0</v>
      </c>
      <c r="S1000" s="130">
        <f t="shared" si="339"/>
        <v>5749950</v>
      </c>
      <c r="T1000" s="130">
        <f t="shared" si="333"/>
        <v>3829.4705294705295</v>
      </c>
      <c r="U1000" s="130">
        <v>5026.636363636364</v>
      </c>
    </row>
    <row r="1001" spans="1:21" s="64" customFormat="1" ht="36" customHeight="1" x14ac:dyDescent="0.9">
      <c r="A1001" s="64">
        <v>1</v>
      </c>
      <c r="B1001" s="96">
        <f>SUBTOTAL(103,$A$923:A1001)</f>
        <v>77</v>
      </c>
      <c r="C1001" s="94" t="s">
        <v>444</v>
      </c>
      <c r="D1001" s="138">
        <v>1961</v>
      </c>
      <c r="E1001" s="138"/>
      <c r="F1001" s="167" t="s">
        <v>273</v>
      </c>
      <c r="G1001" s="138">
        <v>2</v>
      </c>
      <c r="H1001" s="138">
        <v>1</v>
      </c>
      <c r="I1001" s="129">
        <v>646.49</v>
      </c>
      <c r="J1001" s="129">
        <v>588.49</v>
      </c>
      <c r="K1001" s="129">
        <v>588.49</v>
      </c>
      <c r="L1001" s="139">
        <v>29</v>
      </c>
      <c r="M1001" s="138" t="s">
        <v>271</v>
      </c>
      <c r="N1001" s="138" t="s">
        <v>272</v>
      </c>
      <c r="O1001" s="136" t="s">
        <v>274</v>
      </c>
      <c r="P1001" s="130">
        <v>3391530.1000000006</v>
      </c>
      <c r="Q1001" s="130">
        <v>0</v>
      </c>
      <c r="R1001" s="130">
        <v>0</v>
      </c>
      <c r="S1001" s="130">
        <f t="shared" si="339"/>
        <v>3391530.1000000006</v>
      </c>
      <c r="T1001" s="130">
        <f t="shared" si="333"/>
        <v>5246.0673792324715</v>
      </c>
      <c r="U1001" s="130">
        <v>6863.7838791009908</v>
      </c>
    </row>
    <row r="1002" spans="1:21" s="64" customFormat="1" ht="36" customHeight="1" x14ac:dyDescent="0.9">
      <c r="A1002" s="64">
        <v>1</v>
      </c>
      <c r="B1002" s="96">
        <f>SUBTOTAL(103,$A$923:A1002)</f>
        <v>78</v>
      </c>
      <c r="C1002" s="94" t="s">
        <v>445</v>
      </c>
      <c r="D1002" s="138">
        <v>1969</v>
      </c>
      <c r="E1002" s="138"/>
      <c r="F1002" s="167" t="s">
        <v>273</v>
      </c>
      <c r="G1002" s="138">
        <v>5</v>
      </c>
      <c r="H1002" s="138">
        <v>6</v>
      </c>
      <c r="I1002" s="129">
        <v>4890.1099999999997</v>
      </c>
      <c r="J1002" s="129">
        <v>4432.68</v>
      </c>
      <c r="K1002" s="129">
        <v>4177.2300000000005</v>
      </c>
      <c r="L1002" s="139">
        <v>212</v>
      </c>
      <c r="M1002" s="138" t="s">
        <v>271</v>
      </c>
      <c r="N1002" s="138" t="s">
        <v>275</v>
      </c>
      <c r="O1002" s="136" t="s">
        <v>329</v>
      </c>
      <c r="P1002" s="130">
        <v>8090003.5300000003</v>
      </c>
      <c r="Q1002" s="130">
        <v>0</v>
      </c>
      <c r="R1002" s="130">
        <v>0</v>
      </c>
      <c r="S1002" s="130">
        <f t="shared" si="339"/>
        <v>8090003.5300000003</v>
      </c>
      <c r="T1002" s="130">
        <f t="shared" si="333"/>
        <v>1654.3602352503319</v>
      </c>
      <c r="U1002" s="130">
        <v>2118.954060338111</v>
      </c>
    </row>
    <row r="1003" spans="1:21" s="64" customFormat="1" ht="36" customHeight="1" x14ac:dyDescent="0.9">
      <c r="A1003" s="64">
        <v>1</v>
      </c>
      <c r="B1003" s="96">
        <f>SUBTOTAL(103,$A$923:A1003)</f>
        <v>79</v>
      </c>
      <c r="C1003" s="94" t="s">
        <v>446</v>
      </c>
      <c r="D1003" s="138">
        <v>1961</v>
      </c>
      <c r="E1003" s="138"/>
      <c r="F1003" s="167" t="s">
        <v>273</v>
      </c>
      <c r="G1003" s="138">
        <v>2</v>
      </c>
      <c r="H1003" s="138">
        <v>2</v>
      </c>
      <c r="I1003" s="129">
        <v>824.68999999999994</v>
      </c>
      <c r="J1003" s="129">
        <v>778.39</v>
      </c>
      <c r="K1003" s="129">
        <v>728.73</v>
      </c>
      <c r="L1003" s="139">
        <v>49</v>
      </c>
      <c r="M1003" s="138" t="s">
        <v>271</v>
      </c>
      <c r="N1003" s="138" t="s">
        <v>275</v>
      </c>
      <c r="O1003" s="136" t="s">
        <v>333</v>
      </c>
      <c r="P1003" s="130">
        <v>2744983.73</v>
      </c>
      <c r="Q1003" s="130">
        <v>0</v>
      </c>
      <c r="R1003" s="130">
        <v>0</v>
      </c>
      <c r="S1003" s="130">
        <f t="shared" si="339"/>
        <v>2744983.73</v>
      </c>
      <c r="T1003" s="130">
        <f t="shared" si="333"/>
        <v>3328.5037165480367</v>
      </c>
      <c r="U1003" s="130">
        <v>4398.3508954880017</v>
      </c>
    </row>
    <row r="1004" spans="1:21" s="64" customFormat="1" ht="36" customHeight="1" x14ac:dyDescent="0.9">
      <c r="A1004" s="64">
        <v>1</v>
      </c>
      <c r="B1004" s="96">
        <f>SUBTOTAL(103,$A$923:A1004)</f>
        <v>80</v>
      </c>
      <c r="C1004" s="94" t="s">
        <v>447</v>
      </c>
      <c r="D1004" s="138">
        <v>1980</v>
      </c>
      <c r="E1004" s="138"/>
      <c r="F1004" s="167" t="s">
        <v>273</v>
      </c>
      <c r="G1004" s="138">
        <v>5</v>
      </c>
      <c r="H1004" s="138">
        <v>2</v>
      </c>
      <c r="I1004" s="129">
        <v>1589.4</v>
      </c>
      <c r="J1004" s="129">
        <v>1176.4000000000001</v>
      </c>
      <c r="K1004" s="129">
        <v>1117.8000000000002</v>
      </c>
      <c r="L1004" s="139">
        <v>65</v>
      </c>
      <c r="M1004" s="138" t="s">
        <v>271</v>
      </c>
      <c r="N1004" s="138" t="s">
        <v>275</v>
      </c>
      <c r="O1004" s="136" t="s">
        <v>333</v>
      </c>
      <c r="P1004" s="130">
        <v>1568740.5100000002</v>
      </c>
      <c r="Q1004" s="130">
        <v>0</v>
      </c>
      <c r="R1004" s="130">
        <v>0</v>
      </c>
      <c r="S1004" s="130">
        <f t="shared" si="339"/>
        <v>1568740.5100000002</v>
      </c>
      <c r="T1004" s="130">
        <f t="shared" si="333"/>
        <v>987.00170504592938</v>
      </c>
      <c r="U1004" s="130">
        <v>1331.2639989933307</v>
      </c>
    </row>
    <row r="1005" spans="1:21" s="64" customFormat="1" ht="36" customHeight="1" x14ac:dyDescent="0.9">
      <c r="A1005" s="64">
        <v>1</v>
      </c>
      <c r="B1005" s="96">
        <f>SUBTOTAL(103,$A$923:A1005)</f>
        <v>81</v>
      </c>
      <c r="C1005" s="94" t="s">
        <v>209</v>
      </c>
      <c r="D1005" s="138">
        <v>1983</v>
      </c>
      <c r="E1005" s="138"/>
      <c r="F1005" s="167" t="s">
        <v>273</v>
      </c>
      <c r="G1005" s="138">
        <v>5</v>
      </c>
      <c r="H1005" s="138">
        <v>4</v>
      </c>
      <c r="I1005" s="129">
        <v>3097.1</v>
      </c>
      <c r="J1005" s="129">
        <v>2810.6</v>
      </c>
      <c r="K1005" s="129">
        <v>2810.6</v>
      </c>
      <c r="L1005" s="139">
        <v>127</v>
      </c>
      <c r="M1005" s="138" t="s">
        <v>271</v>
      </c>
      <c r="N1005" s="138" t="s">
        <v>275</v>
      </c>
      <c r="O1005" s="136" t="s">
        <v>1052</v>
      </c>
      <c r="P1005" s="130">
        <v>4671497.92</v>
      </c>
      <c r="Q1005" s="130">
        <v>0</v>
      </c>
      <c r="R1005" s="130">
        <v>0</v>
      </c>
      <c r="S1005" s="130">
        <f t="shared" si="339"/>
        <v>4671497.92</v>
      </c>
      <c r="T1005" s="130">
        <f t="shared" si="333"/>
        <v>1508.3458461141067</v>
      </c>
      <c r="U1005" s="130">
        <v>1950.0224532627296</v>
      </c>
    </row>
    <row r="1006" spans="1:21" s="64" customFormat="1" ht="36" customHeight="1" x14ac:dyDescent="0.9">
      <c r="A1006" s="64">
        <v>1</v>
      </c>
      <c r="B1006" s="96">
        <f>SUBTOTAL(103,$A$923:A1006)</f>
        <v>82</v>
      </c>
      <c r="C1006" s="94" t="s">
        <v>210</v>
      </c>
      <c r="D1006" s="138">
        <v>1963</v>
      </c>
      <c r="E1006" s="138"/>
      <c r="F1006" s="167" t="s">
        <v>273</v>
      </c>
      <c r="G1006" s="138">
        <v>2</v>
      </c>
      <c r="H1006" s="138">
        <v>2</v>
      </c>
      <c r="I1006" s="129">
        <v>490.8</v>
      </c>
      <c r="J1006" s="129">
        <v>442.2</v>
      </c>
      <c r="K1006" s="129">
        <v>442.2</v>
      </c>
      <c r="L1006" s="139">
        <v>19</v>
      </c>
      <c r="M1006" s="138" t="s">
        <v>271</v>
      </c>
      <c r="N1006" s="138" t="s">
        <v>275</v>
      </c>
      <c r="O1006" s="136" t="s">
        <v>334</v>
      </c>
      <c r="P1006" s="130">
        <v>457907</v>
      </c>
      <c r="Q1006" s="130">
        <v>0</v>
      </c>
      <c r="R1006" s="130">
        <v>0</v>
      </c>
      <c r="S1006" s="130">
        <f t="shared" si="339"/>
        <v>457907</v>
      </c>
      <c r="T1006" s="130">
        <f t="shared" si="333"/>
        <v>932.98084759576204</v>
      </c>
      <c r="U1006" s="130">
        <v>932.98084759576204</v>
      </c>
    </row>
    <row r="1007" spans="1:21" s="64" customFormat="1" ht="36" customHeight="1" x14ac:dyDescent="0.9">
      <c r="A1007" s="64">
        <v>1</v>
      </c>
      <c r="B1007" s="96">
        <f>SUBTOTAL(103,$A$923:A1007)</f>
        <v>83</v>
      </c>
      <c r="C1007" s="94" t="s">
        <v>211</v>
      </c>
      <c r="D1007" s="138">
        <v>1969</v>
      </c>
      <c r="E1007" s="138"/>
      <c r="F1007" s="167" t="s">
        <v>273</v>
      </c>
      <c r="G1007" s="138">
        <v>2</v>
      </c>
      <c r="H1007" s="138">
        <v>2</v>
      </c>
      <c r="I1007" s="129">
        <v>640.40000000000009</v>
      </c>
      <c r="J1007" s="129">
        <v>589.20000000000005</v>
      </c>
      <c r="K1007" s="129">
        <v>537.5</v>
      </c>
      <c r="L1007" s="139">
        <v>31</v>
      </c>
      <c r="M1007" s="138" t="s">
        <v>271</v>
      </c>
      <c r="N1007" s="138" t="s">
        <v>275</v>
      </c>
      <c r="O1007" s="136" t="s">
        <v>334</v>
      </c>
      <c r="P1007" s="130">
        <v>632281</v>
      </c>
      <c r="Q1007" s="130">
        <v>0</v>
      </c>
      <c r="R1007" s="130">
        <v>0</v>
      </c>
      <c r="S1007" s="130">
        <f t="shared" si="339"/>
        <v>632281</v>
      </c>
      <c r="T1007" s="130">
        <f t="shared" si="333"/>
        <v>987.32198625858825</v>
      </c>
      <c r="U1007" s="130">
        <v>987.32198625858825</v>
      </c>
    </row>
    <row r="1008" spans="1:21" s="64" customFormat="1" ht="36" customHeight="1" x14ac:dyDescent="0.9">
      <c r="A1008" s="64">
        <v>1</v>
      </c>
      <c r="B1008" s="96">
        <f>SUBTOTAL(103,$A$923:A1008)</f>
        <v>84</v>
      </c>
      <c r="C1008" s="94" t="s">
        <v>212</v>
      </c>
      <c r="D1008" s="138">
        <v>1966</v>
      </c>
      <c r="E1008" s="138"/>
      <c r="F1008" s="167" t="s">
        <v>273</v>
      </c>
      <c r="G1008" s="138">
        <v>2</v>
      </c>
      <c r="H1008" s="138">
        <v>2</v>
      </c>
      <c r="I1008" s="129">
        <v>781.6</v>
      </c>
      <c r="J1008" s="129">
        <v>719.9</v>
      </c>
      <c r="K1008" s="129">
        <v>670.3</v>
      </c>
      <c r="L1008" s="139">
        <v>25</v>
      </c>
      <c r="M1008" s="138" t="s">
        <v>271</v>
      </c>
      <c r="N1008" s="138" t="s">
        <v>275</v>
      </c>
      <c r="O1008" s="136" t="s">
        <v>334</v>
      </c>
      <c r="P1008" s="130">
        <v>731529</v>
      </c>
      <c r="Q1008" s="130">
        <v>0</v>
      </c>
      <c r="R1008" s="130">
        <v>0</v>
      </c>
      <c r="S1008" s="130">
        <f t="shared" si="339"/>
        <v>731529</v>
      </c>
      <c r="T1008" s="130">
        <f t="shared" si="333"/>
        <v>935.93781985670421</v>
      </c>
      <c r="U1008" s="130">
        <v>935.93781985670421</v>
      </c>
    </row>
    <row r="1009" spans="1:21" s="64" customFormat="1" ht="36" customHeight="1" x14ac:dyDescent="0.9">
      <c r="A1009" s="64">
        <v>1</v>
      </c>
      <c r="B1009" s="96">
        <f>SUBTOTAL(103,$A$923:A1009)</f>
        <v>85</v>
      </c>
      <c r="C1009" s="94" t="s">
        <v>448</v>
      </c>
      <c r="D1009" s="138">
        <v>1963</v>
      </c>
      <c r="E1009" s="138"/>
      <c r="F1009" s="167" t="s">
        <v>273</v>
      </c>
      <c r="G1009" s="138">
        <v>4</v>
      </c>
      <c r="H1009" s="138">
        <v>3</v>
      </c>
      <c r="I1009" s="129">
        <v>2141.94</v>
      </c>
      <c r="J1009" s="129">
        <v>1753.08</v>
      </c>
      <c r="K1009" s="129">
        <v>1544.6799999999998</v>
      </c>
      <c r="L1009" s="139">
        <v>61</v>
      </c>
      <c r="M1009" s="138" t="s">
        <v>271</v>
      </c>
      <c r="N1009" s="138" t="s">
        <v>275</v>
      </c>
      <c r="O1009" s="136" t="s">
        <v>1052</v>
      </c>
      <c r="P1009" s="130">
        <v>4760772.24</v>
      </c>
      <c r="Q1009" s="130">
        <v>0</v>
      </c>
      <c r="R1009" s="130">
        <v>0</v>
      </c>
      <c r="S1009" s="130">
        <f t="shared" si="339"/>
        <v>4760772.24</v>
      </c>
      <c r="T1009" s="130">
        <f t="shared" si="333"/>
        <v>2222.6450040617383</v>
      </c>
      <c r="U1009" s="130">
        <v>2890.1608074922733</v>
      </c>
    </row>
    <row r="1010" spans="1:21" s="64" customFormat="1" ht="36" customHeight="1" x14ac:dyDescent="0.9">
      <c r="A1010" s="64">
        <v>1</v>
      </c>
      <c r="B1010" s="96">
        <f>SUBTOTAL(103,$A$923:A1010)</f>
        <v>86</v>
      </c>
      <c r="C1010" s="94" t="s">
        <v>449</v>
      </c>
      <c r="D1010" s="138">
        <v>1974</v>
      </c>
      <c r="E1010" s="138"/>
      <c r="F1010" s="167" t="s">
        <v>273</v>
      </c>
      <c r="G1010" s="138">
        <v>9</v>
      </c>
      <c r="H1010" s="138">
        <v>2</v>
      </c>
      <c r="I1010" s="129">
        <v>5409.4</v>
      </c>
      <c r="J1010" s="129">
        <v>4377.3999999999996</v>
      </c>
      <c r="K1010" s="129">
        <v>4227.7</v>
      </c>
      <c r="L1010" s="139">
        <v>190</v>
      </c>
      <c r="M1010" s="138" t="s">
        <v>271</v>
      </c>
      <c r="N1010" s="138" t="s">
        <v>275</v>
      </c>
      <c r="O1010" s="136" t="s">
        <v>1052</v>
      </c>
      <c r="P1010" s="130">
        <v>4331631.53</v>
      </c>
      <c r="Q1010" s="130">
        <v>0</v>
      </c>
      <c r="R1010" s="130">
        <v>0</v>
      </c>
      <c r="S1010" s="130">
        <f t="shared" si="339"/>
        <v>4331631.53</v>
      </c>
      <c r="T1010" s="130">
        <f t="shared" si="333"/>
        <v>800.76007135726707</v>
      </c>
      <c r="U1010" s="130">
        <v>831.25781047805674</v>
      </c>
    </row>
    <row r="1011" spans="1:21" s="64" customFormat="1" ht="36" customHeight="1" x14ac:dyDescent="0.9">
      <c r="A1011" s="64">
        <v>1</v>
      </c>
      <c r="B1011" s="96">
        <f>SUBTOTAL(103,$A$923:A1011)</f>
        <v>87</v>
      </c>
      <c r="C1011" s="94" t="s">
        <v>450</v>
      </c>
      <c r="D1011" s="138">
        <v>1958</v>
      </c>
      <c r="E1011" s="138"/>
      <c r="F1011" s="167" t="s">
        <v>273</v>
      </c>
      <c r="G1011" s="138">
        <v>2</v>
      </c>
      <c r="H1011" s="138">
        <v>2</v>
      </c>
      <c r="I1011" s="129">
        <v>717.8</v>
      </c>
      <c r="J1011" s="129">
        <v>649.4</v>
      </c>
      <c r="K1011" s="129">
        <v>507.29999999999995</v>
      </c>
      <c r="L1011" s="139">
        <v>47</v>
      </c>
      <c r="M1011" s="138" t="s">
        <v>271</v>
      </c>
      <c r="N1011" s="138" t="s">
        <v>275</v>
      </c>
      <c r="O1011" s="136" t="s">
        <v>333</v>
      </c>
      <c r="P1011" s="130">
        <v>2789948.7</v>
      </c>
      <c r="Q1011" s="130">
        <v>0</v>
      </c>
      <c r="R1011" s="130">
        <v>0</v>
      </c>
      <c r="S1011" s="130">
        <f t="shared" si="339"/>
        <v>2789948.7</v>
      </c>
      <c r="T1011" s="130">
        <f t="shared" si="333"/>
        <v>3886.8050989133467</v>
      </c>
      <c r="U1011" s="130">
        <v>5053.3240456951798</v>
      </c>
    </row>
    <row r="1012" spans="1:21" s="64" customFormat="1" ht="36" customHeight="1" x14ac:dyDescent="0.9">
      <c r="A1012" s="64">
        <v>1</v>
      </c>
      <c r="B1012" s="96">
        <f>SUBTOTAL(103,$A$923:A1012)</f>
        <v>88</v>
      </c>
      <c r="C1012" s="94" t="s">
        <v>451</v>
      </c>
      <c r="D1012" s="138">
        <v>1956</v>
      </c>
      <c r="E1012" s="138"/>
      <c r="F1012" s="167" t="s">
        <v>332</v>
      </c>
      <c r="G1012" s="138">
        <v>2</v>
      </c>
      <c r="H1012" s="138">
        <v>3</v>
      </c>
      <c r="I1012" s="129">
        <v>1239.2</v>
      </c>
      <c r="J1012" s="129">
        <v>932.1</v>
      </c>
      <c r="K1012" s="129">
        <v>643.79999999999995</v>
      </c>
      <c r="L1012" s="139">
        <v>44</v>
      </c>
      <c r="M1012" s="138" t="s">
        <v>271</v>
      </c>
      <c r="N1012" s="138" t="s">
        <v>275</v>
      </c>
      <c r="O1012" s="136" t="s">
        <v>329</v>
      </c>
      <c r="P1012" s="130">
        <v>3242314.75</v>
      </c>
      <c r="Q1012" s="130">
        <v>0</v>
      </c>
      <c r="R1012" s="130">
        <v>0</v>
      </c>
      <c r="S1012" s="130">
        <f t="shared" si="339"/>
        <v>3242314.75</v>
      </c>
      <c r="T1012" s="130">
        <f t="shared" si="333"/>
        <v>2616.4579970948998</v>
      </c>
      <c r="U1012" s="130">
        <v>3644.2532440284053</v>
      </c>
    </row>
    <row r="1013" spans="1:21" s="64" customFormat="1" ht="36" customHeight="1" x14ac:dyDescent="0.9">
      <c r="A1013" s="64">
        <v>1</v>
      </c>
      <c r="B1013" s="96">
        <f>SUBTOTAL(103,$A$923:A1013)</f>
        <v>89</v>
      </c>
      <c r="C1013" s="94" t="s">
        <v>452</v>
      </c>
      <c r="D1013" s="138">
        <v>1968</v>
      </c>
      <c r="E1013" s="138"/>
      <c r="F1013" s="167" t="s">
        <v>273</v>
      </c>
      <c r="G1013" s="138">
        <v>3</v>
      </c>
      <c r="H1013" s="138">
        <v>2</v>
      </c>
      <c r="I1013" s="129">
        <v>1032.5</v>
      </c>
      <c r="J1013" s="129">
        <v>644</v>
      </c>
      <c r="K1013" s="129">
        <v>445.9</v>
      </c>
      <c r="L1013" s="139">
        <v>76</v>
      </c>
      <c r="M1013" s="138" t="s">
        <v>271</v>
      </c>
      <c r="N1013" s="138" t="s">
        <v>275</v>
      </c>
      <c r="O1013" s="136" t="s">
        <v>336</v>
      </c>
      <c r="P1013" s="130">
        <v>2210461.9000000004</v>
      </c>
      <c r="Q1013" s="130">
        <v>0</v>
      </c>
      <c r="R1013" s="130">
        <v>0</v>
      </c>
      <c r="S1013" s="130">
        <f t="shared" si="339"/>
        <v>2210461.9000000004</v>
      </c>
      <c r="T1013" s="130">
        <f t="shared" si="333"/>
        <v>2140.8831961259084</v>
      </c>
      <c r="U1013" s="130">
        <v>2828.0456949152544</v>
      </c>
    </row>
    <row r="1014" spans="1:21" s="64" customFormat="1" ht="36" customHeight="1" x14ac:dyDescent="0.9">
      <c r="A1014" s="64">
        <v>1</v>
      </c>
      <c r="B1014" s="96">
        <f>SUBTOTAL(103,$A$923:A1014)</f>
        <v>90</v>
      </c>
      <c r="C1014" s="94" t="s">
        <v>453</v>
      </c>
      <c r="D1014" s="138">
        <v>1969</v>
      </c>
      <c r="E1014" s="138"/>
      <c r="F1014" s="167" t="s">
        <v>273</v>
      </c>
      <c r="G1014" s="138">
        <v>5</v>
      </c>
      <c r="H1014" s="138">
        <v>6</v>
      </c>
      <c r="I1014" s="129">
        <v>5048.3000000000011</v>
      </c>
      <c r="J1014" s="129">
        <v>4487.6000000000004</v>
      </c>
      <c r="K1014" s="129">
        <v>3957.13</v>
      </c>
      <c r="L1014" s="139">
        <v>204</v>
      </c>
      <c r="M1014" s="138" t="s">
        <v>271</v>
      </c>
      <c r="N1014" s="138" t="s">
        <v>275</v>
      </c>
      <c r="O1014" s="136" t="s">
        <v>336</v>
      </c>
      <c r="P1014" s="130">
        <v>7557284.3099999996</v>
      </c>
      <c r="Q1014" s="130">
        <v>0</v>
      </c>
      <c r="R1014" s="130">
        <v>0</v>
      </c>
      <c r="S1014" s="130">
        <f t="shared" si="339"/>
        <v>7557284.3099999996</v>
      </c>
      <c r="T1014" s="130">
        <f t="shared" si="333"/>
        <v>1496.9958817819856</v>
      </c>
      <c r="U1014" s="130">
        <v>1797.4834023334586</v>
      </c>
    </row>
    <row r="1015" spans="1:21" s="64" customFormat="1" ht="36" customHeight="1" x14ac:dyDescent="0.9">
      <c r="A1015" s="64">
        <v>1</v>
      </c>
      <c r="B1015" s="96">
        <f>SUBTOTAL(103,$A$923:A1015)</f>
        <v>91</v>
      </c>
      <c r="C1015" s="94" t="s">
        <v>454</v>
      </c>
      <c r="D1015" s="138">
        <v>1943</v>
      </c>
      <c r="E1015" s="138"/>
      <c r="F1015" s="167" t="s">
        <v>273</v>
      </c>
      <c r="G1015" s="138">
        <v>2</v>
      </c>
      <c r="H1015" s="138">
        <v>2</v>
      </c>
      <c r="I1015" s="129">
        <v>715.9</v>
      </c>
      <c r="J1015" s="129">
        <v>646.9</v>
      </c>
      <c r="K1015" s="129">
        <v>547.55999999999995</v>
      </c>
      <c r="L1015" s="139">
        <v>35</v>
      </c>
      <c r="M1015" s="138" t="s">
        <v>271</v>
      </c>
      <c r="N1015" s="138" t="s">
        <v>275</v>
      </c>
      <c r="O1015" s="136" t="s">
        <v>333</v>
      </c>
      <c r="P1015" s="130">
        <v>3073377.74</v>
      </c>
      <c r="Q1015" s="130">
        <v>0</v>
      </c>
      <c r="R1015" s="130">
        <v>0</v>
      </c>
      <c r="S1015" s="130">
        <f t="shared" si="339"/>
        <v>3073377.74</v>
      </c>
      <c r="T1015" s="130">
        <f t="shared" si="333"/>
        <v>4293.0265958932814</v>
      </c>
      <c r="U1015" s="130">
        <v>5066.7355775946362</v>
      </c>
    </row>
    <row r="1016" spans="1:21" s="64" customFormat="1" ht="36" customHeight="1" x14ac:dyDescent="0.9">
      <c r="A1016" s="64">
        <v>1</v>
      </c>
      <c r="B1016" s="96">
        <f>SUBTOTAL(103,$A$923:A1016)</f>
        <v>92</v>
      </c>
      <c r="C1016" s="94" t="s">
        <v>455</v>
      </c>
      <c r="D1016" s="138">
        <v>1917</v>
      </c>
      <c r="E1016" s="138"/>
      <c r="F1016" s="167" t="s">
        <v>338</v>
      </c>
      <c r="G1016" s="138">
        <v>2</v>
      </c>
      <c r="H1016" s="138">
        <v>2</v>
      </c>
      <c r="I1016" s="129">
        <v>643.4</v>
      </c>
      <c r="J1016" s="129">
        <v>521.79999999999995</v>
      </c>
      <c r="K1016" s="129">
        <v>423.09999999999997</v>
      </c>
      <c r="L1016" s="139">
        <v>21</v>
      </c>
      <c r="M1016" s="138" t="s">
        <v>271</v>
      </c>
      <c r="N1016" s="138" t="s">
        <v>275</v>
      </c>
      <c r="O1016" s="136" t="s">
        <v>329</v>
      </c>
      <c r="P1016" s="130">
        <v>1665415</v>
      </c>
      <c r="Q1016" s="130">
        <v>0</v>
      </c>
      <c r="R1016" s="130">
        <v>0</v>
      </c>
      <c r="S1016" s="130">
        <f t="shared" si="339"/>
        <v>1665415</v>
      </c>
      <c r="T1016" s="130">
        <f t="shared" si="333"/>
        <v>2588.4597451041345</v>
      </c>
      <c r="U1016" s="130">
        <v>3467.1662107553625</v>
      </c>
    </row>
    <row r="1017" spans="1:21" s="64" customFormat="1" ht="36" customHeight="1" x14ac:dyDescent="0.9">
      <c r="A1017" s="64">
        <v>1</v>
      </c>
      <c r="B1017" s="96">
        <f>SUBTOTAL(103,$A$923:A1017)</f>
        <v>93</v>
      </c>
      <c r="C1017" s="94" t="s">
        <v>214</v>
      </c>
      <c r="D1017" s="138">
        <v>1967</v>
      </c>
      <c r="E1017" s="138"/>
      <c r="F1017" s="167" t="s">
        <v>273</v>
      </c>
      <c r="G1017" s="138">
        <v>2</v>
      </c>
      <c r="H1017" s="138">
        <v>2</v>
      </c>
      <c r="I1017" s="129">
        <v>678.4</v>
      </c>
      <c r="J1017" s="129">
        <v>629.79999999999995</v>
      </c>
      <c r="K1017" s="129">
        <v>589.79999999999995</v>
      </c>
      <c r="L1017" s="139">
        <v>37</v>
      </c>
      <c r="M1017" s="138" t="s">
        <v>271</v>
      </c>
      <c r="N1017" s="138" t="s">
        <v>275</v>
      </c>
      <c r="O1017" s="136" t="s">
        <v>335</v>
      </c>
      <c r="P1017" s="130">
        <v>2384110.7700000005</v>
      </c>
      <c r="Q1017" s="130">
        <v>0</v>
      </c>
      <c r="R1017" s="130">
        <v>0</v>
      </c>
      <c r="S1017" s="130">
        <f t="shared" si="339"/>
        <v>2384110.7700000005</v>
      </c>
      <c r="T1017" s="130">
        <f t="shared" si="333"/>
        <v>3514.3142246462271</v>
      </c>
      <c r="U1017" s="130">
        <v>4678.4588738207549</v>
      </c>
    </row>
    <row r="1018" spans="1:21" s="64" customFormat="1" ht="36" customHeight="1" x14ac:dyDescent="0.9">
      <c r="A1018" s="64">
        <v>1</v>
      </c>
      <c r="B1018" s="96">
        <f>SUBTOTAL(103,$A$923:A1018)</f>
        <v>94</v>
      </c>
      <c r="C1018" s="94" t="s">
        <v>213</v>
      </c>
      <c r="D1018" s="138">
        <v>1975</v>
      </c>
      <c r="E1018" s="138"/>
      <c r="F1018" s="167" t="s">
        <v>273</v>
      </c>
      <c r="G1018" s="138">
        <v>2</v>
      </c>
      <c r="H1018" s="138">
        <v>2</v>
      </c>
      <c r="I1018" s="129">
        <v>817.4</v>
      </c>
      <c r="J1018" s="129">
        <v>756.3</v>
      </c>
      <c r="K1018" s="129">
        <v>652</v>
      </c>
      <c r="L1018" s="139">
        <v>43</v>
      </c>
      <c r="M1018" s="138" t="s">
        <v>271</v>
      </c>
      <c r="N1018" s="138" t="s">
        <v>275</v>
      </c>
      <c r="O1018" s="136" t="s">
        <v>335</v>
      </c>
      <c r="P1018" s="130">
        <v>2817533.3499999996</v>
      </c>
      <c r="Q1018" s="130">
        <v>0</v>
      </c>
      <c r="R1018" s="130">
        <v>0</v>
      </c>
      <c r="S1018" s="130">
        <f t="shared" si="339"/>
        <v>2817533.3499999996</v>
      </c>
      <c r="T1018" s="130">
        <f t="shared" si="333"/>
        <v>3446.9456202593587</v>
      </c>
      <c r="U1018" s="130">
        <v>4541.1211646684615</v>
      </c>
    </row>
    <row r="1019" spans="1:21" s="64" customFormat="1" ht="36" customHeight="1" x14ac:dyDescent="0.9">
      <c r="A1019" s="64">
        <v>1</v>
      </c>
      <c r="B1019" s="96">
        <f>SUBTOTAL(103,$A$923:A1019)</f>
        <v>95</v>
      </c>
      <c r="C1019" s="94" t="s">
        <v>456</v>
      </c>
      <c r="D1019" s="138">
        <v>1994</v>
      </c>
      <c r="E1019" s="138"/>
      <c r="F1019" s="167" t="s">
        <v>319</v>
      </c>
      <c r="G1019" s="138">
        <v>9</v>
      </c>
      <c r="H1019" s="138">
        <v>2</v>
      </c>
      <c r="I1019" s="129">
        <v>4306.3</v>
      </c>
      <c r="J1019" s="129">
        <v>3871</v>
      </c>
      <c r="K1019" s="129">
        <v>3511.4</v>
      </c>
      <c r="L1019" s="139">
        <v>173</v>
      </c>
      <c r="M1019" s="138" t="s">
        <v>271</v>
      </c>
      <c r="N1019" s="138" t="s">
        <v>275</v>
      </c>
      <c r="O1019" s="136" t="s">
        <v>329</v>
      </c>
      <c r="P1019" s="130">
        <v>4331631.53</v>
      </c>
      <c r="Q1019" s="130">
        <v>0</v>
      </c>
      <c r="R1019" s="130">
        <v>0</v>
      </c>
      <c r="S1019" s="130">
        <f t="shared" si="339"/>
        <v>4331631.53</v>
      </c>
      <c r="T1019" s="130">
        <f t="shared" si="333"/>
        <v>1005.8824350370388</v>
      </c>
      <c r="U1019" s="130">
        <v>1044.1924622065346</v>
      </c>
    </row>
    <row r="1020" spans="1:21" s="64" customFormat="1" ht="36" customHeight="1" x14ac:dyDescent="0.9">
      <c r="A1020" s="64">
        <v>1</v>
      </c>
      <c r="B1020" s="96">
        <f>SUBTOTAL(103,$A$923:A1020)</f>
        <v>96</v>
      </c>
      <c r="C1020" s="94" t="s">
        <v>457</v>
      </c>
      <c r="D1020" s="138">
        <v>1950</v>
      </c>
      <c r="E1020" s="138"/>
      <c r="F1020" s="167" t="s">
        <v>273</v>
      </c>
      <c r="G1020" s="138">
        <v>2</v>
      </c>
      <c r="H1020" s="138">
        <v>1</v>
      </c>
      <c r="I1020" s="129">
        <v>411.15</v>
      </c>
      <c r="J1020" s="129">
        <v>369.45</v>
      </c>
      <c r="K1020" s="129">
        <v>369.45</v>
      </c>
      <c r="L1020" s="139">
        <v>17</v>
      </c>
      <c r="M1020" s="138" t="s">
        <v>271</v>
      </c>
      <c r="N1020" s="138" t="s">
        <v>275</v>
      </c>
      <c r="O1020" s="136" t="s">
        <v>329</v>
      </c>
      <c r="P1020" s="130">
        <v>1660239.97</v>
      </c>
      <c r="Q1020" s="130">
        <v>0</v>
      </c>
      <c r="R1020" s="130">
        <v>0</v>
      </c>
      <c r="S1020" s="130">
        <f t="shared" si="339"/>
        <v>1660239.97</v>
      </c>
      <c r="T1020" s="130">
        <f t="shared" si="333"/>
        <v>4038.0395719323851</v>
      </c>
      <c r="U1020" s="130">
        <v>5440.3993676273876</v>
      </c>
    </row>
    <row r="1021" spans="1:21" s="64" customFormat="1" ht="36" customHeight="1" x14ac:dyDescent="0.9">
      <c r="A1021" s="64">
        <v>1</v>
      </c>
      <c r="B1021" s="96">
        <f>SUBTOTAL(103,$A$923:A1021)</f>
        <v>97</v>
      </c>
      <c r="C1021" s="94" t="s">
        <v>458</v>
      </c>
      <c r="D1021" s="138">
        <v>1966</v>
      </c>
      <c r="E1021" s="138"/>
      <c r="F1021" s="167" t="s">
        <v>273</v>
      </c>
      <c r="G1021" s="138">
        <v>2</v>
      </c>
      <c r="H1021" s="138">
        <v>2</v>
      </c>
      <c r="I1021" s="129">
        <v>667.6</v>
      </c>
      <c r="J1021" s="129">
        <v>626.5</v>
      </c>
      <c r="K1021" s="129">
        <v>586.70000000000005</v>
      </c>
      <c r="L1021" s="139">
        <v>37</v>
      </c>
      <c r="M1021" s="138" t="s">
        <v>271</v>
      </c>
      <c r="N1021" s="138" t="s">
        <v>275</v>
      </c>
      <c r="O1021" s="136" t="s">
        <v>335</v>
      </c>
      <c r="P1021" s="130">
        <v>2407235.63</v>
      </c>
      <c r="Q1021" s="130">
        <v>0</v>
      </c>
      <c r="R1021" s="130">
        <v>0</v>
      </c>
      <c r="S1021" s="130">
        <f t="shared" si="339"/>
        <v>2407235.63</v>
      </c>
      <c r="T1021" s="130">
        <f t="shared" si="333"/>
        <v>3605.8053175554223</v>
      </c>
      <c r="U1021" s="130">
        <v>4799.4215098861587</v>
      </c>
    </row>
    <row r="1022" spans="1:21" s="64" customFormat="1" ht="36" customHeight="1" x14ac:dyDescent="0.9">
      <c r="A1022" s="64">
        <v>1</v>
      </c>
      <c r="B1022" s="96">
        <f>SUBTOTAL(103,$A$923:A1022)</f>
        <v>98</v>
      </c>
      <c r="C1022" s="94" t="s">
        <v>459</v>
      </c>
      <c r="D1022" s="138">
        <v>1977</v>
      </c>
      <c r="E1022" s="138"/>
      <c r="F1022" s="167" t="s">
        <v>273</v>
      </c>
      <c r="G1022" s="138">
        <v>9</v>
      </c>
      <c r="H1022" s="138">
        <v>1</v>
      </c>
      <c r="I1022" s="129">
        <v>2576</v>
      </c>
      <c r="J1022" s="129">
        <v>2212.6999999999998</v>
      </c>
      <c r="K1022" s="129">
        <v>2123.6999999999998</v>
      </c>
      <c r="L1022" s="139">
        <v>106</v>
      </c>
      <c r="M1022" s="138" t="s">
        <v>271</v>
      </c>
      <c r="N1022" s="138" t="s">
        <v>275</v>
      </c>
      <c r="O1022" s="136" t="s">
        <v>335</v>
      </c>
      <c r="P1022" s="130">
        <v>1790689.27</v>
      </c>
      <c r="Q1022" s="130">
        <v>0</v>
      </c>
      <c r="R1022" s="130">
        <v>0</v>
      </c>
      <c r="S1022" s="130">
        <f t="shared" si="339"/>
        <v>1790689.27</v>
      </c>
      <c r="T1022" s="130">
        <f t="shared" si="333"/>
        <v>695.14335015527956</v>
      </c>
      <c r="U1022" s="130">
        <v>929.34866459627335</v>
      </c>
    </row>
    <row r="1023" spans="1:21" s="64" customFormat="1" ht="36" customHeight="1" x14ac:dyDescent="0.9">
      <c r="A1023" s="64">
        <v>1</v>
      </c>
      <c r="B1023" s="96">
        <f>SUBTOTAL(103,$A$923:A1023)</f>
        <v>99</v>
      </c>
      <c r="C1023" s="94" t="s">
        <v>857</v>
      </c>
      <c r="D1023" s="138">
        <v>1988</v>
      </c>
      <c r="E1023" s="138"/>
      <c r="F1023" s="167" t="s">
        <v>273</v>
      </c>
      <c r="G1023" s="138">
        <v>9</v>
      </c>
      <c r="H1023" s="138">
        <v>3</v>
      </c>
      <c r="I1023" s="129">
        <v>6719</v>
      </c>
      <c r="J1023" s="129">
        <v>5795.4</v>
      </c>
      <c r="K1023" s="129">
        <v>5264.2</v>
      </c>
      <c r="L1023" s="139">
        <v>304</v>
      </c>
      <c r="M1023" s="138" t="s">
        <v>271</v>
      </c>
      <c r="N1023" s="138" t="s">
        <v>275</v>
      </c>
      <c r="O1023" s="136" t="s">
        <v>1033</v>
      </c>
      <c r="P1023" s="130">
        <v>6300000</v>
      </c>
      <c r="Q1023" s="130">
        <v>0</v>
      </c>
      <c r="R1023" s="130">
        <v>0</v>
      </c>
      <c r="S1023" s="130">
        <f t="shared" si="339"/>
        <v>6300000</v>
      </c>
      <c r="T1023" s="130">
        <f t="shared" si="333"/>
        <v>937.63952969191848</v>
      </c>
      <c r="U1023" s="130">
        <v>1003.8560797737758</v>
      </c>
    </row>
    <row r="1024" spans="1:21" s="64" customFormat="1" ht="36" customHeight="1" x14ac:dyDescent="0.9">
      <c r="B1024" s="94" t="s">
        <v>824</v>
      </c>
      <c r="C1024" s="94"/>
      <c r="D1024" s="138" t="s">
        <v>934</v>
      </c>
      <c r="E1024" s="138" t="s">
        <v>934</v>
      </c>
      <c r="F1024" s="138" t="s">
        <v>934</v>
      </c>
      <c r="G1024" s="138" t="s">
        <v>934</v>
      </c>
      <c r="H1024" s="138" t="s">
        <v>934</v>
      </c>
      <c r="I1024" s="129">
        <f>SUM(I1025:I1035)</f>
        <v>28484.610000000004</v>
      </c>
      <c r="J1024" s="129">
        <f t="shared" ref="J1024:L1024" si="340">SUM(J1025:J1035)</f>
        <v>20082.5</v>
      </c>
      <c r="K1024" s="129">
        <f t="shared" si="340"/>
        <v>19493.600000000002</v>
      </c>
      <c r="L1024" s="139">
        <f t="shared" si="340"/>
        <v>850</v>
      </c>
      <c r="M1024" s="138" t="s">
        <v>934</v>
      </c>
      <c r="N1024" s="138" t="s">
        <v>934</v>
      </c>
      <c r="O1024" s="136" t="s">
        <v>934</v>
      </c>
      <c r="P1024" s="129">
        <v>46315599.309999995</v>
      </c>
      <c r="Q1024" s="129">
        <f t="shared" ref="Q1024:S1024" si="341">SUM(Q1025:Q1035)</f>
        <v>0</v>
      </c>
      <c r="R1024" s="129">
        <f t="shared" si="341"/>
        <v>0</v>
      </c>
      <c r="S1024" s="129">
        <f t="shared" si="341"/>
        <v>46315599.309999995</v>
      </c>
      <c r="T1024" s="130">
        <f t="shared" si="333"/>
        <v>1625.9867805808115</v>
      </c>
      <c r="U1024" s="130">
        <f>MAX(U1025:U1035)</f>
        <v>6562.2638763307559</v>
      </c>
    </row>
    <row r="1025" spans="1:21" s="64" customFormat="1" ht="36" customHeight="1" x14ac:dyDescent="0.9">
      <c r="A1025" s="64">
        <v>1</v>
      </c>
      <c r="B1025" s="96">
        <f>SUBTOTAL(103,$A$923:A1025)</f>
        <v>100</v>
      </c>
      <c r="C1025" s="94" t="s">
        <v>825</v>
      </c>
      <c r="D1025" s="138">
        <v>1961</v>
      </c>
      <c r="E1025" s="138"/>
      <c r="F1025" s="167" t="s">
        <v>273</v>
      </c>
      <c r="G1025" s="138">
        <v>3</v>
      </c>
      <c r="H1025" s="138">
        <v>2</v>
      </c>
      <c r="I1025" s="129">
        <v>1044</v>
      </c>
      <c r="J1025" s="129">
        <v>968.1</v>
      </c>
      <c r="K1025" s="129">
        <v>968.1</v>
      </c>
      <c r="L1025" s="139">
        <v>46</v>
      </c>
      <c r="M1025" s="138" t="s">
        <v>271</v>
      </c>
      <c r="N1025" s="138" t="s">
        <v>275</v>
      </c>
      <c r="O1025" s="136" t="s">
        <v>844</v>
      </c>
      <c r="P1025" s="130">
        <v>2532230.7999999998</v>
      </c>
      <c r="Q1025" s="130">
        <v>0</v>
      </c>
      <c r="R1025" s="130">
        <v>0</v>
      </c>
      <c r="S1025" s="130">
        <f t="shared" ref="S1025:S1035" si="342">P1025-Q1025-R1025</f>
        <v>2532230.7999999998</v>
      </c>
      <c r="T1025" s="130">
        <f t="shared" si="333"/>
        <v>2425.5084291187736</v>
      </c>
      <c r="U1025" s="130">
        <v>2930.0792720306517</v>
      </c>
    </row>
    <row r="1026" spans="1:21" s="64" customFormat="1" ht="36" customHeight="1" x14ac:dyDescent="0.9">
      <c r="A1026" s="64">
        <v>1</v>
      </c>
      <c r="B1026" s="96">
        <f>SUBTOTAL(103,$A$923:A1026)</f>
        <v>101</v>
      </c>
      <c r="C1026" s="94" t="s">
        <v>826</v>
      </c>
      <c r="D1026" s="138">
        <v>1960</v>
      </c>
      <c r="E1026" s="138"/>
      <c r="F1026" s="167" t="s">
        <v>273</v>
      </c>
      <c r="G1026" s="138">
        <v>2</v>
      </c>
      <c r="H1026" s="138">
        <v>2</v>
      </c>
      <c r="I1026" s="129">
        <v>711.5</v>
      </c>
      <c r="J1026" s="129">
        <v>515.1</v>
      </c>
      <c r="K1026" s="129">
        <v>515.1</v>
      </c>
      <c r="L1026" s="139">
        <v>13</v>
      </c>
      <c r="M1026" s="138" t="s">
        <v>271</v>
      </c>
      <c r="N1026" s="138" t="s">
        <v>272</v>
      </c>
      <c r="O1026" s="136" t="s">
        <v>274</v>
      </c>
      <c r="P1026" s="130">
        <v>2386020.4</v>
      </c>
      <c r="Q1026" s="130">
        <v>0</v>
      </c>
      <c r="R1026" s="130">
        <v>0</v>
      </c>
      <c r="S1026" s="130">
        <f t="shared" si="342"/>
        <v>2386020.4</v>
      </c>
      <c r="T1026" s="130">
        <f t="shared" si="333"/>
        <v>3353.5072382290932</v>
      </c>
      <c r="U1026" s="130">
        <v>4061.4615319747013</v>
      </c>
    </row>
    <row r="1027" spans="1:21" s="64" customFormat="1" ht="36" customHeight="1" x14ac:dyDescent="0.9">
      <c r="A1027" s="64">
        <v>1</v>
      </c>
      <c r="B1027" s="96">
        <f>SUBTOTAL(103,$A$923:A1027)</f>
        <v>102</v>
      </c>
      <c r="C1027" s="94" t="s">
        <v>1144</v>
      </c>
      <c r="D1027" s="138">
        <v>1962</v>
      </c>
      <c r="E1027" s="138"/>
      <c r="F1027" s="167" t="s">
        <v>273</v>
      </c>
      <c r="G1027" s="138">
        <v>4</v>
      </c>
      <c r="H1027" s="138">
        <v>2</v>
      </c>
      <c r="I1027" s="129">
        <v>1321.3</v>
      </c>
      <c r="J1027" s="129">
        <v>1280</v>
      </c>
      <c r="K1027" s="129">
        <v>975</v>
      </c>
      <c r="L1027" s="139">
        <v>60</v>
      </c>
      <c r="M1027" s="138" t="s">
        <v>271</v>
      </c>
      <c r="N1027" s="138" t="s">
        <v>275</v>
      </c>
      <c r="O1027" s="136" t="s">
        <v>848</v>
      </c>
      <c r="P1027" s="130">
        <v>3009600</v>
      </c>
      <c r="Q1027" s="130">
        <v>0</v>
      </c>
      <c r="R1027" s="130">
        <v>0</v>
      </c>
      <c r="S1027" s="130">
        <f t="shared" si="342"/>
        <v>3009600</v>
      </c>
      <c r="T1027" s="130">
        <f t="shared" si="333"/>
        <v>2277.7567547112694</v>
      </c>
      <c r="U1027" s="130">
        <v>2868.7681979868312</v>
      </c>
    </row>
    <row r="1028" spans="1:21" s="64" customFormat="1" ht="36" customHeight="1" x14ac:dyDescent="0.9">
      <c r="A1028" s="64">
        <v>1</v>
      </c>
      <c r="B1028" s="96">
        <f>SUBTOTAL(103,$A$923:A1028)</f>
        <v>103</v>
      </c>
      <c r="C1028" s="94" t="s">
        <v>828</v>
      </c>
      <c r="D1028" s="138">
        <v>1991</v>
      </c>
      <c r="E1028" s="138"/>
      <c r="F1028" s="167" t="s">
        <v>326</v>
      </c>
      <c r="G1028" s="138">
        <v>9</v>
      </c>
      <c r="H1028" s="138">
        <v>4</v>
      </c>
      <c r="I1028" s="129">
        <v>10990.1</v>
      </c>
      <c r="J1028" s="129">
        <v>7793.3</v>
      </c>
      <c r="K1028" s="129">
        <v>7793.3</v>
      </c>
      <c r="L1028" s="139">
        <v>318</v>
      </c>
      <c r="M1028" s="138" t="s">
        <v>271</v>
      </c>
      <c r="N1028" s="138" t="s">
        <v>275</v>
      </c>
      <c r="O1028" s="136" t="s">
        <v>850</v>
      </c>
      <c r="P1028" s="130">
        <v>8452796.0600000005</v>
      </c>
      <c r="Q1028" s="130">
        <v>0</v>
      </c>
      <c r="R1028" s="130">
        <v>0</v>
      </c>
      <c r="S1028" s="130">
        <f t="shared" si="342"/>
        <v>8452796.0600000005</v>
      </c>
      <c r="T1028" s="130">
        <f t="shared" si="333"/>
        <v>769.12822085331345</v>
      </c>
      <c r="U1028" s="130">
        <v>818.30119835124333</v>
      </c>
    </row>
    <row r="1029" spans="1:21" s="64" customFormat="1" ht="36" customHeight="1" x14ac:dyDescent="0.9">
      <c r="A1029" s="64">
        <v>1</v>
      </c>
      <c r="B1029" s="96">
        <f>SUBTOTAL(103,$A$923:A1029)</f>
        <v>104</v>
      </c>
      <c r="C1029" s="94" t="s">
        <v>830</v>
      </c>
      <c r="D1029" s="138">
        <v>1937</v>
      </c>
      <c r="E1029" s="138"/>
      <c r="F1029" s="167" t="s">
        <v>273</v>
      </c>
      <c r="G1029" s="138">
        <v>3</v>
      </c>
      <c r="H1029" s="138">
        <v>4</v>
      </c>
      <c r="I1029" s="129">
        <v>2758</v>
      </c>
      <c r="J1029" s="129">
        <v>1462.7</v>
      </c>
      <c r="K1029" s="129">
        <v>1347.2</v>
      </c>
      <c r="L1029" s="139">
        <v>62</v>
      </c>
      <c r="M1029" s="138" t="s">
        <v>271</v>
      </c>
      <c r="N1029" s="138" t="s">
        <v>275</v>
      </c>
      <c r="O1029" s="136" t="s">
        <v>848</v>
      </c>
      <c r="P1029" s="130">
        <v>6961648</v>
      </c>
      <c r="Q1029" s="130">
        <v>0</v>
      </c>
      <c r="R1029" s="130">
        <v>0</v>
      </c>
      <c r="S1029" s="130">
        <f t="shared" si="342"/>
        <v>6961648</v>
      </c>
      <c r="T1029" s="130">
        <f t="shared" si="333"/>
        <v>2524.16533720087</v>
      </c>
      <c r="U1029" s="130">
        <v>2981.0825235678026</v>
      </c>
    </row>
    <row r="1030" spans="1:21" s="64" customFormat="1" ht="36" customHeight="1" x14ac:dyDescent="0.9">
      <c r="A1030" s="64">
        <v>1</v>
      </c>
      <c r="B1030" s="96">
        <f>SUBTOTAL(103,$A$923:A1030)</f>
        <v>105</v>
      </c>
      <c r="C1030" s="94" t="s">
        <v>831</v>
      </c>
      <c r="D1030" s="138">
        <v>1959</v>
      </c>
      <c r="E1030" s="138"/>
      <c r="F1030" s="167" t="s">
        <v>273</v>
      </c>
      <c r="G1030" s="138">
        <v>4</v>
      </c>
      <c r="H1030" s="138">
        <v>2</v>
      </c>
      <c r="I1030" s="129">
        <v>1352</v>
      </c>
      <c r="J1030" s="129">
        <v>809</v>
      </c>
      <c r="K1030" s="129">
        <v>809</v>
      </c>
      <c r="L1030" s="139">
        <v>67</v>
      </c>
      <c r="M1030" s="138" t="s">
        <v>271</v>
      </c>
      <c r="N1030" s="138" t="s">
        <v>275</v>
      </c>
      <c r="O1030" s="136" t="s">
        <v>848</v>
      </c>
      <c r="P1030" s="130">
        <v>3278948.1999999997</v>
      </c>
      <c r="Q1030" s="130">
        <v>0</v>
      </c>
      <c r="R1030" s="130">
        <v>0</v>
      </c>
      <c r="S1030" s="130">
        <f t="shared" si="342"/>
        <v>3278948.1999999997</v>
      </c>
      <c r="T1030" s="130">
        <f t="shared" si="333"/>
        <v>2425.2575443786982</v>
      </c>
      <c r="U1030" s="130">
        <v>2901.9996597633135</v>
      </c>
    </row>
    <row r="1031" spans="1:21" s="64" customFormat="1" ht="36" customHeight="1" x14ac:dyDescent="0.9">
      <c r="A1031" s="64">
        <v>1</v>
      </c>
      <c r="B1031" s="96">
        <f>SUBTOTAL(103,$A$923:A1031)</f>
        <v>106</v>
      </c>
      <c r="C1031" s="94" t="s">
        <v>832</v>
      </c>
      <c r="D1031" s="138">
        <v>1965</v>
      </c>
      <c r="E1031" s="138"/>
      <c r="F1031" s="167" t="s">
        <v>273</v>
      </c>
      <c r="G1031" s="138">
        <v>5</v>
      </c>
      <c r="H1031" s="138">
        <v>2</v>
      </c>
      <c r="I1031" s="129">
        <v>2042.45</v>
      </c>
      <c r="J1031" s="129">
        <v>1565</v>
      </c>
      <c r="K1031" s="129">
        <v>1565</v>
      </c>
      <c r="L1031" s="139">
        <v>65</v>
      </c>
      <c r="M1031" s="138" t="s">
        <v>271</v>
      </c>
      <c r="N1031" s="138" t="s">
        <v>275</v>
      </c>
      <c r="O1031" s="136" t="s">
        <v>846</v>
      </c>
      <c r="P1031" s="130">
        <v>3336388</v>
      </c>
      <c r="Q1031" s="130">
        <v>0</v>
      </c>
      <c r="R1031" s="130">
        <v>0</v>
      </c>
      <c r="S1031" s="130">
        <f t="shared" si="342"/>
        <v>3336388</v>
      </c>
      <c r="T1031" s="130">
        <f t="shared" si="333"/>
        <v>1633.5224852505569</v>
      </c>
      <c r="U1031" s="130">
        <v>1953.5379568655292</v>
      </c>
    </row>
    <row r="1032" spans="1:21" s="64" customFormat="1" ht="36" customHeight="1" x14ac:dyDescent="0.9">
      <c r="A1032" s="64">
        <v>1</v>
      </c>
      <c r="B1032" s="96">
        <f>SUBTOTAL(103,$A$923:A1032)</f>
        <v>107</v>
      </c>
      <c r="C1032" s="94" t="s">
        <v>833</v>
      </c>
      <c r="D1032" s="138">
        <v>1955</v>
      </c>
      <c r="E1032" s="138"/>
      <c r="F1032" s="167" t="s">
        <v>344</v>
      </c>
      <c r="G1032" s="138">
        <v>2</v>
      </c>
      <c r="H1032" s="138">
        <v>2</v>
      </c>
      <c r="I1032" s="129">
        <v>685.7</v>
      </c>
      <c r="J1032" s="129">
        <v>629.20000000000005</v>
      </c>
      <c r="K1032" s="129">
        <v>629.20000000000005</v>
      </c>
      <c r="L1032" s="139">
        <v>28</v>
      </c>
      <c r="M1032" s="138" t="s">
        <v>271</v>
      </c>
      <c r="N1032" s="138" t="s">
        <v>272</v>
      </c>
      <c r="O1032" s="136" t="s">
        <v>274</v>
      </c>
      <c r="P1032" s="130">
        <v>4001516.58</v>
      </c>
      <c r="Q1032" s="130">
        <v>0</v>
      </c>
      <c r="R1032" s="130">
        <v>0</v>
      </c>
      <c r="S1032" s="130">
        <f t="shared" si="342"/>
        <v>4001516.58</v>
      </c>
      <c r="T1032" s="130">
        <f t="shared" si="333"/>
        <v>5835.6665888872685</v>
      </c>
      <c r="U1032" s="130">
        <v>6562.2638763307559</v>
      </c>
    </row>
    <row r="1033" spans="1:21" s="64" customFormat="1" ht="36" customHeight="1" x14ac:dyDescent="0.9">
      <c r="A1033" s="64">
        <v>1</v>
      </c>
      <c r="B1033" s="96">
        <f>SUBTOTAL(103,$A$923:A1033)</f>
        <v>108</v>
      </c>
      <c r="C1033" s="94" t="s">
        <v>834</v>
      </c>
      <c r="D1033" s="138">
        <v>1975</v>
      </c>
      <c r="E1033" s="138"/>
      <c r="F1033" s="167" t="s">
        <v>273</v>
      </c>
      <c r="G1033" s="138">
        <v>5</v>
      </c>
      <c r="H1033" s="138">
        <v>6</v>
      </c>
      <c r="I1033" s="129">
        <v>6824.86</v>
      </c>
      <c r="J1033" s="129">
        <v>4475.3</v>
      </c>
      <c r="K1033" s="129">
        <v>4306.8999999999996</v>
      </c>
      <c r="L1033" s="139">
        <v>160</v>
      </c>
      <c r="M1033" s="138" t="s">
        <v>271</v>
      </c>
      <c r="N1033" s="138" t="s">
        <v>275</v>
      </c>
      <c r="O1033" s="136" t="s">
        <v>853</v>
      </c>
      <c r="P1033" s="130">
        <v>8460275.6699999981</v>
      </c>
      <c r="Q1033" s="130">
        <v>0</v>
      </c>
      <c r="R1033" s="130">
        <v>0</v>
      </c>
      <c r="S1033" s="130">
        <f t="shared" si="342"/>
        <v>8460275.6699999981</v>
      </c>
      <c r="T1033" s="130">
        <f t="shared" si="333"/>
        <v>1239.6262590001843</v>
      </c>
      <c r="U1033" s="130">
        <v>3697.55</v>
      </c>
    </row>
    <row r="1034" spans="1:21" s="64" customFormat="1" ht="36" customHeight="1" x14ac:dyDescent="0.9">
      <c r="A1034" s="64">
        <v>1</v>
      </c>
      <c r="B1034" s="96">
        <f>SUBTOTAL(103,$A$923:A1034)</f>
        <v>109</v>
      </c>
      <c r="C1034" s="94" t="s">
        <v>856</v>
      </c>
      <c r="D1034" s="138">
        <v>1959</v>
      </c>
      <c r="E1034" s="138"/>
      <c r="F1034" s="167" t="s">
        <v>273</v>
      </c>
      <c r="G1034" s="138">
        <v>2</v>
      </c>
      <c r="H1034" s="138">
        <v>1</v>
      </c>
      <c r="I1034" s="129">
        <v>309.2</v>
      </c>
      <c r="J1034" s="129">
        <v>287.5</v>
      </c>
      <c r="K1034" s="129">
        <v>287.5</v>
      </c>
      <c r="L1034" s="139">
        <v>14</v>
      </c>
      <c r="M1034" s="138" t="s">
        <v>271</v>
      </c>
      <c r="N1034" s="138" t="s">
        <v>275</v>
      </c>
      <c r="O1034" s="136" t="s">
        <v>1032</v>
      </c>
      <c r="P1034" s="130">
        <v>1911891.6</v>
      </c>
      <c r="Q1034" s="130">
        <v>0</v>
      </c>
      <c r="R1034" s="130">
        <v>0</v>
      </c>
      <c r="S1034" s="130">
        <f t="shared" si="342"/>
        <v>1911891.6</v>
      </c>
      <c r="T1034" s="130">
        <f t="shared" si="333"/>
        <v>6183.3492884864172</v>
      </c>
      <c r="U1034" s="130">
        <v>4848.8812419146188</v>
      </c>
    </row>
    <row r="1035" spans="1:21" s="64" customFormat="1" ht="36" customHeight="1" x14ac:dyDescent="0.9">
      <c r="A1035" s="64">
        <v>1</v>
      </c>
      <c r="B1035" s="96">
        <f>SUBTOTAL(103,$A$923:A1035)</f>
        <v>110</v>
      </c>
      <c r="C1035" s="94" t="s">
        <v>1703</v>
      </c>
      <c r="D1035" s="138">
        <v>1958</v>
      </c>
      <c r="E1035" s="138"/>
      <c r="F1035" s="167" t="s">
        <v>273</v>
      </c>
      <c r="G1035" s="138">
        <v>2</v>
      </c>
      <c r="H1035" s="138">
        <v>2</v>
      </c>
      <c r="I1035" s="129">
        <v>445.5</v>
      </c>
      <c r="J1035" s="129">
        <v>297.3</v>
      </c>
      <c r="K1035" s="129">
        <v>297.3</v>
      </c>
      <c r="L1035" s="139">
        <v>17</v>
      </c>
      <c r="M1035" s="138" t="s">
        <v>271</v>
      </c>
      <c r="N1035" s="138" t="s">
        <v>272</v>
      </c>
      <c r="O1035" s="136" t="s">
        <v>274</v>
      </c>
      <c r="P1035" s="130">
        <v>1984284</v>
      </c>
      <c r="Q1035" s="130">
        <v>0</v>
      </c>
      <c r="R1035" s="130">
        <v>0</v>
      </c>
      <c r="S1035" s="130">
        <f t="shared" si="342"/>
        <v>1984284</v>
      </c>
      <c r="T1035" s="130">
        <f t="shared" si="333"/>
        <v>4454.060606060606</v>
      </c>
      <c r="U1035" s="130">
        <f>T1035</f>
        <v>4454.060606060606</v>
      </c>
    </row>
    <row r="1036" spans="1:21" s="64" customFormat="1" ht="36" customHeight="1" x14ac:dyDescent="0.9">
      <c r="B1036" s="94" t="s">
        <v>801</v>
      </c>
      <c r="C1036" s="126"/>
      <c r="D1036" s="138" t="s">
        <v>934</v>
      </c>
      <c r="E1036" s="138" t="s">
        <v>934</v>
      </c>
      <c r="F1036" s="138" t="s">
        <v>934</v>
      </c>
      <c r="G1036" s="138" t="s">
        <v>934</v>
      </c>
      <c r="H1036" s="138" t="s">
        <v>934</v>
      </c>
      <c r="I1036" s="129">
        <f>I1037+I1038</f>
        <v>13712.7</v>
      </c>
      <c r="J1036" s="129">
        <f t="shared" ref="J1036:L1036" si="343">J1037+J1038</f>
        <v>12166.6</v>
      </c>
      <c r="K1036" s="129">
        <f t="shared" si="343"/>
        <v>11718.300000000001</v>
      </c>
      <c r="L1036" s="139">
        <f t="shared" si="343"/>
        <v>336</v>
      </c>
      <c r="M1036" s="138" t="s">
        <v>934</v>
      </c>
      <c r="N1036" s="138" t="s">
        <v>934</v>
      </c>
      <c r="O1036" s="136" t="s">
        <v>934</v>
      </c>
      <c r="P1036" s="129">
        <v>21856214.649999999</v>
      </c>
      <c r="Q1036" s="129">
        <f t="shared" ref="Q1036:S1036" si="344">Q1037+Q1038</f>
        <v>0</v>
      </c>
      <c r="R1036" s="129">
        <f t="shared" si="344"/>
        <v>0</v>
      </c>
      <c r="S1036" s="129">
        <f t="shared" si="344"/>
        <v>21856214.649999999</v>
      </c>
      <c r="T1036" s="130">
        <f t="shared" si="333"/>
        <v>1593.8666090558386</v>
      </c>
      <c r="U1036" s="130">
        <f>MAX(U1037:U1038)</f>
        <v>5190.2615059145137</v>
      </c>
    </row>
    <row r="1037" spans="1:21" s="64" customFormat="1" ht="36" customHeight="1" x14ac:dyDescent="0.9">
      <c r="A1037" s="64">
        <v>1</v>
      </c>
      <c r="B1037" s="96">
        <f>SUBTOTAL(103,$A$923:A1037)</f>
        <v>111</v>
      </c>
      <c r="C1037" s="94" t="s">
        <v>401</v>
      </c>
      <c r="D1037" s="138">
        <v>1981</v>
      </c>
      <c r="E1037" s="138">
        <v>2016</v>
      </c>
      <c r="F1037" s="167" t="s">
        <v>319</v>
      </c>
      <c r="G1037" s="138">
        <v>5</v>
      </c>
      <c r="H1037" s="138">
        <v>5</v>
      </c>
      <c r="I1037" s="129">
        <v>3982.4</v>
      </c>
      <c r="J1037" s="129">
        <v>3501.5</v>
      </c>
      <c r="K1037" s="129">
        <v>3375.6</v>
      </c>
      <c r="L1037" s="139">
        <v>162</v>
      </c>
      <c r="M1037" s="138" t="s">
        <v>271</v>
      </c>
      <c r="N1037" s="138" t="s">
        <v>275</v>
      </c>
      <c r="O1037" s="136" t="s">
        <v>327</v>
      </c>
      <c r="P1037" s="130">
        <v>7550257.2599999998</v>
      </c>
      <c r="Q1037" s="130">
        <v>0</v>
      </c>
      <c r="R1037" s="130">
        <v>0</v>
      </c>
      <c r="S1037" s="130">
        <f t="shared" ref="S1037:S1038" si="345">P1037-Q1037-R1037</f>
        <v>7550257.2599999998</v>
      </c>
      <c r="T1037" s="130">
        <f t="shared" si="333"/>
        <v>1895.9063027320208</v>
      </c>
      <c r="U1037" s="130">
        <v>3929.63</v>
      </c>
    </row>
    <row r="1038" spans="1:21" s="64" customFormat="1" ht="36" customHeight="1" x14ac:dyDescent="0.9">
      <c r="A1038" s="64">
        <v>1</v>
      </c>
      <c r="B1038" s="96">
        <f>SUBTOTAL(103,$A$923:A1038)</f>
        <v>112</v>
      </c>
      <c r="C1038" s="94" t="s">
        <v>402</v>
      </c>
      <c r="D1038" s="138">
        <v>1999</v>
      </c>
      <c r="E1038" s="138">
        <v>2016</v>
      </c>
      <c r="F1038" s="167" t="s">
        <v>319</v>
      </c>
      <c r="G1038" s="138">
        <v>9</v>
      </c>
      <c r="H1038" s="138">
        <v>1</v>
      </c>
      <c r="I1038" s="129">
        <v>9730.3000000000011</v>
      </c>
      <c r="J1038" s="129">
        <v>8665.1</v>
      </c>
      <c r="K1038" s="129">
        <v>8342.7000000000007</v>
      </c>
      <c r="L1038" s="139">
        <v>174</v>
      </c>
      <c r="M1038" s="138" t="s">
        <v>271</v>
      </c>
      <c r="N1038" s="138" t="s">
        <v>275</v>
      </c>
      <c r="O1038" s="136" t="s">
        <v>327</v>
      </c>
      <c r="P1038" s="130">
        <v>14305957.390000001</v>
      </c>
      <c r="Q1038" s="130">
        <v>0</v>
      </c>
      <c r="R1038" s="130">
        <v>0</v>
      </c>
      <c r="S1038" s="130">
        <f t="shared" si="345"/>
        <v>14305957.390000001</v>
      </c>
      <c r="T1038" s="130">
        <f t="shared" ref="T1038:T1101" si="346">P1038/I1038</f>
        <v>1470.248336639158</v>
      </c>
      <c r="U1038" s="130">
        <v>5190.2615059145137</v>
      </c>
    </row>
    <row r="1039" spans="1:21" s="64" customFormat="1" ht="36" customHeight="1" x14ac:dyDescent="0.9">
      <c r="B1039" s="94" t="s">
        <v>858</v>
      </c>
      <c r="C1039" s="126"/>
      <c r="D1039" s="138" t="s">
        <v>934</v>
      </c>
      <c r="E1039" s="138" t="s">
        <v>934</v>
      </c>
      <c r="F1039" s="138" t="s">
        <v>934</v>
      </c>
      <c r="G1039" s="138" t="s">
        <v>934</v>
      </c>
      <c r="H1039" s="138" t="s">
        <v>934</v>
      </c>
      <c r="I1039" s="129">
        <f>SUM(I1040:I1047)</f>
        <v>45915.810000000005</v>
      </c>
      <c r="J1039" s="129">
        <f t="shared" ref="J1039:L1039" si="347">SUM(J1040:J1047)</f>
        <v>33236.720000000001</v>
      </c>
      <c r="K1039" s="129">
        <f t="shared" si="347"/>
        <v>33236.720000000001</v>
      </c>
      <c r="L1039" s="139">
        <f t="shared" si="347"/>
        <v>1959</v>
      </c>
      <c r="M1039" s="138" t="s">
        <v>934</v>
      </c>
      <c r="N1039" s="138" t="s">
        <v>934</v>
      </c>
      <c r="O1039" s="136" t="s">
        <v>934</v>
      </c>
      <c r="P1039" s="129">
        <v>51679396.32</v>
      </c>
      <c r="Q1039" s="129">
        <f t="shared" ref="Q1039:S1039" si="348">SUM(Q1040:Q1047)</f>
        <v>0</v>
      </c>
      <c r="R1039" s="129">
        <f t="shared" si="348"/>
        <v>0</v>
      </c>
      <c r="S1039" s="129">
        <f t="shared" si="348"/>
        <v>51679396.32</v>
      </c>
      <c r="T1039" s="130">
        <f t="shared" si="346"/>
        <v>1125.5250929908455</v>
      </c>
      <c r="U1039" s="130">
        <f>MAX(U1040:U1047)</f>
        <v>6710.3029820385191</v>
      </c>
    </row>
    <row r="1040" spans="1:21" s="64" customFormat="1" ht="36" customHeight="1" x14ac:dyDescent="0.9">
      <c r="A1040" s="64">
        <v>1</v>
      </c>
      <c r="B1040" s="96">
        <f>SUBTOTAL(103,$A$923:A1040)</f>
        <v>113</v>
      </c>
      <c r="C1040" s="94" t="s">
        <v>646</v>
      </c>
      <c r="D1040" s="138">
        <v>1967</v>
      </c>
      <c r="E1040" s="138"/>
      <c r="F1040" s="167" t="s">
        <v>273</v>
      </c>
      <c r="G1040" s="138">
        <v>5</v>
      </c>
      <c r="H1040" s="138">
        <v>4</v>
      </c>
      <c r="I1040" s="129">
        <v>5264.54</v>
      </c>
      <c r="J1040" s="129">
        <v>2547.17</v>
      </c>
      <c r="K1040" s="129">
        <v>2547.17</v>
      </c>
      <c r="L1040" s="139">
        <v>100</v>
      </c>
      <c r="M1040" s="138" t="s">
        <v>271</v>
      </c>
      <c r="N1040" s="138" t="s">
        <v>275</v>
      </c>
      <c r="O1040" s="136" t="s">
        <v>747</v>
      </c>
      <c r="P1040" s="130">
        <v>5121801</v>
      </c>
      <c r="Q1040" s="130">
        <v>0</v>
      </c>
      <c r="R1040" s="130">
        <v>0</v>
      </c>
      <c r="S1040" s="130">
        <f t="shared" ref="S1040:S1047" si="349">P1040-Q1040-R1040</f>
        <v>5121801</v>
      </c>
      <c r="T1040" s="130">
        <f t="shared" si="346"/>
        <v>972.8867099499671</v>
      </c>
      <c r="U1040" s="130">
        <v>1126.5174659134511</v>
      </c>
    </row>
    <row r="1041" spans="1:21" s="64" customFormat="1" ht="36" customHeight="1" x14ac:dyDescent="0.9">
      <c r="A1041" s="64">
        <v>1</v>
      </c>
      <c r="B1041" s="96">
        <f>SUBTOTAL(103,$A$923:A1041)</f>
        <v>114</v>
      </c>
      <c r="C1041" s="94" t="s">
        <v>647</v>
      </c>
      <c r="D1041" s="138">
        <v>1969</v>
      </c>
      <c r="E1041" s="138"/>
      <c r="F1041" s="167" t="s">
        <v>273</v>
      </c>
      <c r="G1041" s="138">
        <v>5</v>
      </c>
      <c r="H1041" s="138">
        <v>8</v>
      </c>
      <c r="I1041" s="129">
        <v>8212.5400000000009</v>
      </c>
      <c r="J1041" s="129">
        <v>5998.64</v>
      </c>
      <c r="K1041" s="129">
        <v>5998.64</v>
      </c>
      <c r="L1041" s="139">
        <v>252</v>
      </c>
      <c r="M1041" s="138" t="s">
        <v>271</v>
      </c>
      <c r="N1041" s="138" t="s">
        <v>275</v>
      </c>
      <c r="O1041" s="136" t="s">
        <v>747</v>
      </c>
      <c r="P1041" s="130">
        <v>8124000</v>
      </c>
      <c r="Q1041" s="130">
        <v>0</v>
      </c>
      <c r="R1041" s="130">
        <v>0</v>
      </c>
      <c r="S1041" s="130">
        <f t="shared" si="349"/>
        <v>8124000</v>
      </c>
      <c r="T1041" s="130">
        <f t="shared" si="346"/>
        <v>989.21892617874607</v>
      </c>
      <c r="U1041" s="130">
        <v>1245.8923853034505</v>
      </c>
    </row>
    <row r="1042" spans="1:21" s="64" customFormat="1" ht="36" customHeight="1" x14ac:dyDescent="0.9">
      <c r="A1042" s="64">
        <v>1</v>
      </c>
      <c r="B1042" s="96">
        <f>SUBTOTAL(103,$A$923:A1042)</f>
        <v>115</v>
      </c>
      <c r="C1042" s="94" t="s">
        <v>653</v>
      </c>
      <c r="D1042" s="138">
        <v>1962</v>
      </c>
      <c r="E1042" s="138"/>
      <c r="F1042" s="167" t="s">
        <v>273</v>
      </c>
      <c r="G1042" s="138">
        <v>4</v>
      </c>
      <c r="H1042" s="138">
        <v>3</v>
      </c>
      <c r="I1042" s="129">
        <v>2140.73</v>
      </c>
      <c r="J1042" s="129">
        <v>1833.43</v>
      </c>
      <c r="K1042" s="129">
        <v>1833.43</v>
      </c>
      <c r="L1042" s="139">
        <v>72</v>
      </c>
      <c r="M1042" s="138" t="s">
        <v>271</v>
      </c>
      <c r="N1042" s="138" t="s">
        <v>275</v>
      </c>
      <c r="O1042" s="136" t="s">
        <v>746</v>
      </c>
      <c r="P1042" s="130">
        <v>4742041.0599999996</v>
      </c>
      <c r="Q1042" s="130">
        <v>0</v>
      </c>
      <c r="R1042" s="130">
        <v>0</v>
      </c>
      <c r="S1042" s="130">
        <f t="shared" si="349"/>
        <v>4742041.0599999996</v>
      </c>
      <c r="T1042" s="130">
        <f t="shared" si="346"/>
        <v>2215.1514016246792</v>
      </c>
      <c r="U1042" s="130">
        <v>3892.0643335684554</v>
      </c>
    </row>
    <row r="1043" spans="1:21" s="64" customFormat="1" ht="36" customHeight="1" x14ac:dyDescent="0.9">
      <c r="A1043" s="64">
        <v>1</v>
      </c>
      <c r="B1043" s="96">
        <f>SUBTOTAL(103,$A$923:A1043)</f>
        <v>116</v>
      </c>
      <c r="C1043" s="94" t="s">
        <v>651</v>
      </c>
      <c r="D1043" s="138">
        <v>1982</v>
      </c>
      <c r="E1043" s="138"/>
      <c r="F1043" s="167" t="s">
        <v>273</v>
      </c>
      <c r="G1043" s="138">
        <v>9</v>
      </c>
      <c r="H1043" s="138">
        <v>6</v>
      </c>
      <c r="I1043" s="129">
        <v>12114.8</v>
      </c>
      <c r="J1043" s="129">
        <v>10694</v>
      </c>
      <c r="K1043" s="129">
        <v>10694</v>
      </c>
      <c r="L1043" s="139">
        <v>559</v>
      </c>
      <c r="M1043" s="138" t="s">
        <v>271</v>
      </c>
      <c r="N1043" s="138" t="s">
        <v>275</v>
      </c>
      <c r="O1043" s="136" t="s">
        <v>749</v>
      </c>
      <c r="P1043" s="130">
        <v>9052752</v>
      </c>
      <c r="Q1043" s="130">
        <v>0</v>
      </c>
      <c r="R1043" s="130">
        <v>0</v>
      </c>
      <c r="S1043" s="130">
        <f t="shared" si="349"/>
        <v>9052752</v>
      </c>
      <c r="T1043" s="130">
        <f t="shared" si="346"/>
        <v>747.2473338396012</v>
      </c>
      <c r="U1043" s="130">
        <v>904.21414468253704</v>
      </c>
    </row>
    <row r="1044" spans="1:21" s="64" customFormat="1" ht="36" customHeight="1" x14ac:dyDescent="0.9">
      <c r="A1044" s="64">
        <v>1</v>
      </c>
      <c r="B1044" s="96">
        <f>SUBTOTAL(103,$A$923:A1044)</f>
        <v>117</v>
      </c>
      <c r="C1044" s="94" t="s">
        <v>665</v>
      </c>
      <c r="D1044" s="138">
        <v>1975</v>
      </c>
      <c r="E1044" s="138"/>
      <c r="F1044" s="167" t="s">
        <v>273</v>
      </c>
      <c r="G1044" s="138">
        <v>5</v>
      </c>
      <c r="H1044" s="138">
        <v>1</v>
      </c>
      <c r="I1044" s="129">
        <v>2310.5</v>
      </c>
      <c r="J1044" s="129">
        <v>830.8</v>
      </c>
      <c r="K1044" s="129">
        <v>830.8</v>
      </c>
      <c r="L1044" s="139">
        <v>86</v>
      </c>
      <c r="M1044" s="138" t="s">
        <v>271</v>
      </c>
      <c r="N1044" s="138" t="s">
        <v>275</v>
      </c>
      <c r="O1044" s="136" t="s">
        <v>746</v>
      </c>
      <c r="P1044" s="130">
        <v>6820409.8600000003</v>
      </c>
      <c r="Q1044" s="130">
        <v>0</v>
      </c>
      <c r="R1044" s="130">
        <v>0</v>
      </c>
      <c r="S1044" s="130">
        <f t="shared" si="349"/>
        <v>6820409.8600000003</v>
      </c>
      <c r="T1044" s="130">
        <f t="shared" si="346"/>
        <v>2951.9194373512228</v>
      </c>
      <c r="U1044" s="130">
        <v>6710.3029820385191</v>
      </c>
    </row>
    <row r="1045" spans="1:21" s="64" customFormat="1" ht="36" customHeight="1" x14ac:dyDescent="0.9">
      <c r="A1045" s="64">
        <v>1</v>
      </c>
      <c r="B1045" s="96">
        <f>SUBTOTAL(103,$A$923:A1045)</f>
        <v>118</v>
      </c>
      <c r="C1045" s="94" t="s">
        <v>669</v>
      </c>
      <c r="D1045" s="138">
        <v>1982</v>
      </c>
      <c r="E1045" s="138"/>
      <c r="F1045" s="167" t="s">
        <v>273</v>
      </c>
      <c r="G1045" s="138">
        <v>9</v>
      </c>
      <c r="H1045" s="138">
        <v>4</v>
      </c>
      <c r="I1045" s="129">
        <v>9363</v>
      </c>
      <c r="J1045" s="129">
        <v>5631</v>
      </c>
      <c r="K1045" s="129">
        <v>5631</v>
      </c>
      <c r="L1045" s="139">
        <v>549</v>
      </c>
      <c r="M1045" s="138" t="s">
        <v>271</v>
      </c>
      <c r="N1045" s="138" t="s">
        <v>275</v>
      </c>
      <c r="O1045" s="136" t="s">
        <v>754</v>
      </c>
      <c r="P1045" s="130">
        <v>9102212.3999999985</v>
      </c>
      <c r="Q1045" s="130">
        <v>0</v>
      </c>
      <c r="R1045" s="130">
        <v>0</v>
      </c>
      <c r="S1045" s="130">
        <f t="shared" si="349"/>
        <v>9102212.3999999985</v>
      </c>
      <c r="T1045" s="130">
        <f t="shared" si="346"/>
        <v>972.14700416533151</v>
      </c>
      <c r="U1045" s="130">
        <v>1176.3562505607179</v>
      </c>
    </row>
    <row r="1046" spans="1:21" s="64" customFormat="1" ht="36" customHeight="1" x14ac:dyDescent="0.9">
      <c r="A1046" s="64">
        <v>1</v>
      </c>
      <c r="B1046" s="96">
        <f>SUBTOTAL(103,$A$923:A1046)</f>
        <v>119</v>
      </c>
      <c r="C1046" s="94" t="s">
        <v>673</v>
      </c>
      <c r="D1046" s="138">
        <v>1966</v>
      </c>
      <c r="E1046" s="138"/>
      <c r="F1046" s="167" t="s">
        <v>273</v>
      </c>
      <c r="G1046" s="138">
        <v>5</v>
      </c>
      <c r="H1046" s="138">
        <v>4</v>
      </c>
      <c r="I1046" s="129">
        <v>3420.4</v>
      </c>
      <c r="J1046" s="129">
        <v>2916.6</v>
      </c>
      <c r="K1046" s="129">
        <v>2916.6</v>
      </c>
      <c r="L1046" s="139">
        <v>133</v>
      </c>
      <c r="M1046" s="138" t="s">
        <v>271</v>
      </c>
      <c r="N1046" s="138" t="s">
        <v>275</v>
      </c>
      <c r="O1046" s="136" t="s">
        <v>753</v>
      </c>
      <c r="P1046" s="130">
        <v>4594480</v>
      </c>
      <c r="Q1046" s="130">
        <v>0</v>
      </c>
      <c r="R1046" s="130">
        <v>0</v>
      </c>
      <c r="S1046" s="130">
        <f t="shared" si="349"/>
        <v>4594480</v>
      </c>
      <c r="T1046" s="130">
        <f t="shared" si="346"/>
        <v>1343.2580984680153</v>
      </c>
      <c r="U1046" s="130">
        <v>1555.3750438545198</v>
      </c>
    </row>
    <row r="1047" spans="1:21" s="64" customFormat="1" ht="36" customHeight="1" x14ac:dyDescent="0.9">
      <c r="A1047" s="64">
        <v>1</v>
      </c>
      <c r="B1047" s="96">
        <f>SUBTOTAL(103,$A$923:A1047)</f>
        <v>120</v>
      </c>
      <c r="C1047" s="94" t="s">
        <v>672</v>
      </c>
      <c r="D1047" s="138">
        <v>1972</v>
      </c>
      <c r="E1047" s="138"/>
      <c r="F1047" s="167" t="s">
        <v>273</v>
      </c>
      <c r="G1047" s="138">
        <v>5</v>
      </c>
      <c r="H1047" s="138">
        <v>4</v>
      </c>
      <c r="I1047" s="129">
        <v>3089.3</v>
      </c>
      <c r="J1047" s="129">
        <v>2785.08</v>
      </c>
      <c r="K1047" s="129">
        <v>2785.08</v>
      </c>
      <c r="L1047" s="139">
        <v>208</v>
      </c>
      <c r="M1047" s="138" t="s">
        <v>271</v>
      </c>
      <c r="N1047" s="138" t="s">
        <v>275</v>
      </c>
      <c r="O1047" s="136" t="s">
        <v>749</v>
      </c>
      <c r="P1047" s="130">
        <v>4121700</v>
      </c>
      <c r="Q1047" s="130">
        <v>0</v>
      </c>
      <c r="R1047" s="130">
        <v>0</v>
      </c>
      <c r="S1047" s="130">
        <f t="shared" si="349"/>
        <v>4121700</v>
      </c>
      <c r="T1047" s="130">
        <f t="shared" si="346"/>
        <v>1334.1857378694201</v>
      </c>
      <c r="U1047" s="130">
        <v>1614.4448580584597</v>
      </c>
    </row>
    <row r="1048" spans="1:21" s="64" customFormat="1" ht="36" customHeight="1" x14ac:dyDescent="0.9">
      <c r="B1048" s="94" t="s">
        <v>859</v>
      </c>
      <c r="C1048" s="94"/>
      <c r="D1048" s="138" t="s">
        <v>934</v>
      </c>
      <c r="E1048" s="138" t="s">
        <v>934</v>
      </c>
      <c r="F1048" s="138" t="s">
        <v>934</v>
      </c>
      <c r="G1048" s="138" t="s">
        <v>934</v>
      </c>
      <c r="H1048" s="138" t="s">
        <v>934</v>
      </c>
      <c r="I1048" s="129">
        <f>SUM(I1049:I1051)</f>
        <v>10321.200000000001</v>
      </c>
      <c r="J1048" s="129">
        <f t="shared" ref="J1048:L1048" si="350">SUM(J1049:J1051)</f>
        <v>6414.0999999999995</v>
      </c>
      <c r="K1048" s="129">
        <f t="shared" si="350"/>
        <v>5994.7000000000007</v>
      </c>
      <c r="L1048" s="139">
        <f t="shared" si="350"/>
        <v>281</v>
      </c>
      <c r="M1048" s="138" t="s">
        <v>934</v>
      </c>
      <c r="N1048" s="138" t="s">
        <v>934</v>
      </c>
      <c r="O1048" s="136" t="s">
        <v>934</v>
      </c>
      <c r="P1048" s="129">
        <v>9890638.1399999987</v>
      </c>
      <c r="Q1048" s="129">
        <f t="shared" ref="Q1048:S1048" si="351">SUM(Q1049:Q1051)</f>
        <v>0</v>
      </c>
      <c r="R1048" s="129">
        <f t="shared" si="351"/>
        <v>0</v>
      </c>
      <c r="S1048" s="129">
        <f t="shared" si="351"/>
        <v>9890638.1399999987</v>
      </c>
      <c r="T1048" s="130">
        <f t="shared" si="346"/>
        <v>958.28374026275992</v>
      </c>
      <c r="U1048" s="130">
        <f>MAX(U1049:U1051)</f>
        <v>2479.7489353441838</v>
      </c>
    </row>
    <row r="1049" spans="1:21" s="64" customFormat="1" ht="36" customHeight="1" x14ac:dyDescent="0.9">
      <c r="A1049" s="64">
        <v>1</v>
      </c>
      <c r="B1049" s="96">
        <f>SUBTOTAL(103,$A$923:A1049)</f>
        <v>121</v>
      </c>
      <c r="C1049" s="94" t="s">
        <v>678</v>
      </c>
      <c r="D1049" s="138">
        <v>1992</v>
      </c>
      <c r="E1049" s="138"/>
      <c r="F1049" s="167" t="s">
        <v>319</v>
      </c>
      <c r="G1049" s="138">
        <v>5</v>
      </c>
      <c r="H1049" s="138">
        <v>3</v>
      </c>
      <c r="I1049" s="129">
        <v>5482.2</v>
      </c>
      <c r="J1049" s="129">
        <v>3303.8</v>
      </c>
      <c r="K1049" s="129">
        <v>3096.3</v>
      </c>
      <c r="L1049" s="139">
        <v>147</v>
      </c>
      <c r="M1049" s="138" t="s">
        <v>271</v>
      </c>
      <c r="N1049" s="138" t="s">
        <v>275</v>
      </c>
      <c r="O1049" s="136" t="s">
        <v>751</v>
      </c>
      <c r="P1049" s="130">
        <v>4229613.5999999996</v>
      </c>
      <c r="Q1049" s="130">
        <v>0</v>
      </c>
      <c r="R1049" s="130">
        <v>0</v>
      </c>
      <c r="S1049" s="130">
        <f t="shared" ref="S1049:S1051" si="352">P1049-Q1049-R1049</f>
        <v>4229613.5999999996</v>
      </c>
      <c r="T1049" s="130">
        <f t="shared" si="346"/>
        <v>771.5175659406807</v>
      </c>
      <c r="U1049" s="130">
        <v>933.58258290467325</v>
      </c>
    </row>
    <row r="1050" spans="1:21" s="64" customFormat="1" ht="36" customHeight="1" x14ac:dyDescent="0.9">
      <c r="A1050" s="64">
        <v>1</v>
      </c>
      <c r="B1050" s="96">
        <f>SUBTOTAL(103,$A$923:A1050)</f>
        <v>122</v>
      </c>
      <c r="C1050" s="94" t="s">
        <v>1162</v>
      </c>
      <c r="D1050" s="138">
        <v>1983</v>
      </c>
      <c r="E1050" s="138"/>
      <c r="F1050" s="167" t="s">
        <v>273</v>
      </c>
      <c r="G1050" s="138">
        <v>5</v>
      </c>
      <c r="H1050" s="138">
        <v>4</v>
      </c>
      <c r="I1050" s="129">
        <v>4169.3</v>
      </c>
      <c r="J1050" s="129">
        <v>2760.1</v>
      </c>
      <c r="K1050" s="129">
        <v>2597.9</v>
      </c>
      <c r="L1050" s="139">
        <v>121</v>
      </c>
      <c r="M1050" s="138" t="s">
        <v>271</v>
      </c>
      <c r="N1050" s="138" t="s">
        <v>275</v>
      </c>
      <c r="O1050" s="136" t="s">
        <v>1436</v>
      </c>
      <c r="P1050" s="130">
        <v>4226815.84</v>
      </c>
      <c r="Q1050" s="130">
        <v>0</v>
      </c>
      <c r="R1050" s="130">
        <v>0</v>
      </c>
      <c r="S1050" s="130">
        <f t="shared" si="352"/>
        <v>4226815.84</v>
      </c>
      <c r="T1050" s="130">
        <f t="shared" si="346"/>
        <v>1013.795083107476</v>
      </c>
      <c r="U1050" s="130">
        <v>1243.2248588492073</v>
      </c>
    </row>
    <row r="1051" spans="1:21" s="64" customFormat="1" ht="36" customHeight="1" x14ac:dyDescent="0.9">
      <c r="A1051" s="64">
        <v>1</v>
      </c>
      <c r="B1051" s="96">
        <f>SUBTOTAL(103,$A$923:A1051)</f>
        <v>123</v>
      </c>
      <c r="C1051" s="94" t="s">
        <v>676</v>
      </c>
      <c r="D1051" s="138">
        <v>1966</v>
      </c>
      <c r="E1051" s="138"/>
      <c r="F1051" s="167" t="s">
        <v>273</v>
      </c>
      <c r="G1051" s="138">
        <v>2</v>
      </c>
      <c r="H1051" s="138">
        <v>2</v>
      </c>
      <c r="I1051" s="129">
        <v>669.7</v>
      </c>
      <c r="J1051" s="129">
        <v>350.2</v>
      </c>
      <c r="K1051" s="129">
        <v>300.5</v>
      </c>
      <c r="L1051" s="139">
        <v>13</v>
      </c>
      <c r="M1051" s="138" t="s">
        <v>271</v>
      </c>
      <c r="N1051" s="138" t="s">
        <v>275</v>
      </c>
      <c r="O1051" s="136" t="s">
        <v>751</v>
      </c>
      <c r="P1051" s="130">
        <v>1434208.7</v>
      </c>
      <c r="Q1051" s="130">
        <v>0</v>
      </c>
      <c r="R1051" s="130">
        <v>0</v>
      </c>
      <c r="S1051" s="130">
        <f t="shared" si="352"/>
        <v>1434208.7</v>
      </c>
      <c r="T1051" s="130">
        <f t="shared" si="346"/>
        <v>2141.5689114528891</v>
      </c>
      <c r="U1051" s="130">
        <v>2479.7489353441838</v>
      </c>
    </row>
    <row r="1052" spans="1:21" s="64" customFormat="1" ht="36" customHeight="1" x14ac:dyDescent="0.9">
      <c r="B1052" s="94" t="s">
        <v>860</v>
      </c>
      <c r="C1052" s="94"/>
      <c r="D1052" s="138" t="s">
        <v>934</v>
      </c>
      <c r="E1052" s="138" t="s">
        <v>934</v>
      </c>
      <c r="F1052" s="138" t="s">
        <v>934</v>
      </c>
      <c r="G1052" s="138" t="s">
        <v>934</v>
      </c>
      <c r="H1052" s="138" t="s">
        <v>934</v>
      </c>
      <c r="I1052" s="129">
        <f>SUM(I1053:I1054)</f>
        <v>4408.6000000000004</v>
      </c>
      <c r="J1052" s="129">
        <f t="shared" ref="J1052:L1052" si="353">SUM(J1053:J1054)</f>
        <v>4188.5</v>
      </c>
      <c r="K1052" s="129">
        <f t="shared" si="353"/>
        <v>1566.9</v>
      </c>
      <c r="L1052" s="139">
        <f t="shared" si="353"/>
        <v>120</v>
      </c>
      <c r="M1052" s="138" t="s">
        <v>934</v>
      </c>
      <c r="N1052" s="138" t="s">
        <v>934</v>
      </c>
      <c r="O1052" s="136" t="s">
        <v>934</v>
      </c>
      <c r="P1052" s="130">
        <v>11422752.699999999</v>
      </c>
      <c r="Q1052" s="130">
        <f t="shared" ref="Q1052:S1052" si="354">Q1053+Q1054</f>
        <v>0</v>
      </c>
      <c r="R1052" s="130">
        <f t="shared" si="354"/>
        <v>0</v>
      </c>
      <c r="S1052" s="130">
        <f t="shared" si="354"/>
        <v>11422752.699999999</v>
      </c>
      <c r="T1052" s="130">
        <f t="shared" si="346"/>
        <v>2591.0159007394632</v>
      </c>
      <c r="U1052" s="130">
        <f>MAX(U1053:U1054)</f>
        <v>17983.775776356422</v>
      </c>
    </row>
    <row r="1053" spans="1:21" s="64" customFormat="1" ht="36" customHeight="1" x14ac:dyDescent="0.9">
      <c r="A1053" s="64">
        <v>1</v>
      </c>
      <c r="B1053" s="96">
        <f>SUBTOTAL(103,$A$923:A1053)</f>
        <v>124</v>
      </c>
      <c r="C1053" s="94" t="s">
        <v>682</v>
      </c>
      <c r="D1053" s="138">
        <v>1882</v>
      </c>
      <c r="E1053" s="138"/>
      <c r="F1053" s="167" t="s">
        <v>273</v>
      </c>
      <c r="G1053" s="138">
        <v>3</v>
      </c>
      <c r="H1053" s="138">
        <v>3</v>
      </c>
      <c r="I1053" s="129">
        <v>3501.8</v>
      </c>
      <c r="J1053" s="129">
        <v>3352.4</v>
      </c>
      <c r="K1053" s="129">
        <v>1028.9000000000001</v>
      </c>
      <c r="L1053" s="139">
        <v>87</v>
      </c>
      <c r="M1053" s="138" t="s">
        <v>271</v>
      </c>
      <c r="N1053" s="138" t="s">
        <v>275</v>
      </c>
      <c r="O1053" s="136" t="s">
        <v>752</v>
      </c>
      <c r="P1053" s="130">
        <v>4240119.51</v>
      </c>
      <c r="Q1053" s="130">
        <v>0</v>
      </c>
      <c r="R1053" s="130">
        <v>0</v>
      </c>
      <c r="S1053" s="130">
        <f t="shared" ref="S1053:S1054" si="355">P1053-Q1053-R1053</f>
        <v>4240119.51</v>
      </c>
      <c r="T1053" s="130">
        <f t="shared" si="346"/>
        <v>1210.839999428865</v>
      </c>
      <c r="U1053" s="130">
        <v>2753.19</v>
      </c>
    </row>
    <row r="1054" spans="1:21" s="64" customFormat="1" ht="36" customHeight="1" x14ac:dyDescent="0.9">
      <c r="A1054" s="64">
        <v>1</v>
      </c>
      <c r="B1054" s="96">
        <f>SUBTOTAL(103,$A$923:A1054)</f>
        <v>125</v>
      </c>
      <c r="C1054" s="94" t="s">
        <v>686</v>
      </c>
      <c r="D1054" s="138">
        <v>1952</v>
      </c>
      <c r="E1054" s="138"/>
      <c r="F1054" s="167" t="s">
        <v>273</v>
      </c>
      <c r="G1054" s="138">
        <v>2</v>
      </c>
      <c r="H1054" s="138">
        <v>2</v>
      </c>
      <c r="I1054" s="129">
        <v>906.8</v>
      </c>
      <c r="J1054" s="129">
        <v>836.1</v>
      </c>
      <c r="K1054" s="129">
        <v>538</v>
      </c>
      <c r="L1054" s="139">
        <v>33</v>
      </c>
      <c r="M1054" s="138" t="s">
        <v>271</v>
      </c>
      <c r="N1054" s="138" t="s">
        <v>275</v>
      </c>
      <c r="O1054" s="136" t="s">
        <v>752</v>
      </c>
      <c r="P1054" s="130">
        <v>7182633.1900000004</v>
      </c>
      <c r="Q1054" s="130">
        <v>0</v>
      </c>
      <c r="R1054" s="130">
        <v>0</v>
      </c>
      <c r="S1054" s="130">
        <f t="shared" si="355"/>
        <v>7182633.1900000004</v>
      </c>
      <c r="T1054" s="130">
        <f t="shared" si="346"/>
        <v>7920.8570688134105</v>
      </c>
      <c r="U1054" s="130">
        <v>17983.775776356422</v>
      </c>
    </row>
    <row r="1055" spans="1:21" s="64" customFormat="1" ht="36" customHeight="1" x14ac:dyDescent="0.9">
      <c r="B1055" s="94" t="s">
        <v>861</v>
      </c>
      <c r="C1055" s="94"/>
      <c r="D1055" s="138" t="s">
        <v>934</v>
      </c>
      <c r="E1055" s="138" t="s">
        <v>934</v>
      </c>
      <c r="F1055" s="138" t="s">
        <v>934</v>
      </c>
      <c r="G1055" s="138" t="s">
        <v>934</v>
      </c>
      <c r="H1055" s="138" t="s">
        <v>934</v>
      </c>
      <c r="I1055" s="129">
        <f>SUM(I1056:I1057)</f>
        <v>6442.65</v>
      </c>
      <c r="J1055" s="129">
        <f t="shared" ref="J1055:L1055" si="356">SUM(J1056:J1057)</f>
        <v>4755.2999999999993</v>
      </c>
      <c r="K1055" s="129">
        <f t="shared" si="356"/>
        <v>4755.2999999999993</v>
      </c>
      <c r="L1055" s="139">
        <f t="shared" si="356"/>
        <v>188</v>
      </c>
      <c r="M1055" s="138" t="s">
        <v>934</v>
      </c>
      <c r="N1055" s="138" t="s">
        <v>934</v>
      </c>
      <c r="O1055" s="136" t="s">
        <v>934</v>
      </c>
      <c r="P1055" s="129">
        <v>8756823</v>
      </c>
      <c r="Q1055" s="129">
        <f t="shared" ref="Q1055:S1055" si="357">SUM(Q1056:Q1057)</f>
        <v>0</v>
      </c>
      <c r="R1055" s="129">
        <f t="shared" si="357"/>
        <v>0</v>
      </c>
      <c r="S1055" s="129">
        <f t="shared" si="357"/>
        <v>8756823</v>
      </c>
      <c r="T1055" s="130">
        <f t="shared" si="346"/>
        <v>1359.1958278037764</v>
      </c>
      <c r="U1055" s="130">
        <f>MAX(U1056:U1057)</f>
        <v>1969.9755254174738</v>
      </c>
    </row>
    <row r="1056" spans="1:21" s="64" customFormat="1" ht="36" customHeight="1" x14ac:dyDescent="0.9">
      <c r="A1056" s="64">
        <v>1</v>
      </c>
      <c r="B1056" s="96">
        <f>SUBTOTAL(103,$A$923:A1056)</f>
        <v>126</v>
      </c>
      <c r="C1056" s="94" t="s">
        <v>691</v>
      </c>
      <c r="D1056" s="138">
        <v>1986</v>
      </c>
      <c r="E1056" s="138"/>
      <c r="F1056" s="167" t="s">
        <v>273</v>
      </c>
      <c r="G1056" s="138">
        <v>5</v>
      </c>
      <c r="H1056" s="138">
        <v>4</v>
      </c>
      <c r="I1056" s="129">
        <v>3732.9</v>
      </c>
      <c r="J1056" s="129">
        <v>2826.7</v>
      </c>
      <c r="K1056" s="129">
        <v>2826.7</v>
      </c>
      <c r="L1056" s="139">
        <v>115</v>
      </c>
      <c r="M1056" s="138" t="s">
        <v>271</v>
      </c>
      <c r="N1056" s="138" t="s">
        <v>275</v>
      </c>
      <c r="O1056" s="136" t="s">
        <v>755</v>
      </c>
      <c r="P1056" s="130">
        <v>4146680</v>
      </c>
      <c r="Q1056" s="130">
        <v>0</v>
      </c>
      <c r="R1056" s="130">
        <v>0</v>
      </c>
      <c r="S1056" s="130">
        <f t="shared" ref="S1056" si="358">P1056-Q1056-R1056</f>
        <v>4146680</v>
      </c>
      <c r="T1056" s="130">
        <f t="shared" si="346"/>
        <v>1110.8467947172439</v>
      </c>
      <c r="U1056" s="130">
        <v>1344.1913257788849</v>
      </c>
    </row>
    <row r="1057" spans="1:184" s="64" customFormat="1" ht="36" customHeight="1" x14ac:dyDescent="0.9">
      <c r="A1057" s="64">
        <v>1</v>
      </c>
      <c r="B1057" s="96">
        <f>SUBTOTAL(103,$A$923:A1057)</f>
        <v>127</v>
      </c>
      <c r="C1057" s="94" t="s">
        <v>694</v>
      </c>
      <c r="D1057" s="138">
        <v>1964</v>
      </c>
      <c r="E1057" s="138"/>
      <c r="F1057" s="167" t="s">
        <v>273</v>
      </c>
      <c r="G1057" s="138">
        <v>4</v>
      </c>
      <c r="H1057" s="138">
        <v>3</v>
      </c>
      <c r="I1057" s="129">
        <v>2709.75</v>
      </c>
      <c r="J1057" s="129">
        <v>1928.6</v>
      </c>
      <c r="K1057" s="129">
        <v>1928.6</v>
      </c>
      <c r="L1057" s="139">
        <v>73</v>
      </c>
      <c r="M1057" s="138" t="s">
        <v>271</v>
      </c>
      <c r="N1057" s="138" t="s">
        <v>275</v>
      </c>
      <c r="O1057" s="136" t="s">
        <v>1053</v>
      </c>
      <c r="P1057" s="130">
        <v>4610143</v>
      </c>
      <c r="Q1057" s="130">
        <v>0</v>
      </c>
      <c r="R1057" s="130">
        <v>0</v>
      </c>
      <c r="S1057" s="130">
        <f>P1057-Q1057-R1057</f>
        <v>4610143</v>
      </c>
      <c r="T1057" s="130">
        <f t="shared" si="346"/>
        <v>1701.3167266352984</v>
      </c>
      <c r="U1057" s="130">
        <v>1969.9755254174738</v>
      </c>
    </row>
    <row r="1058" spans="1:184" s="64" customFormat="1" ht="36" customHeight="1" x14ac:dyDescent="0.9">
      <c r="B1058" s="94" t="s">
        <v>862</v>
      </c>
      <c r="C1058" s="126"/>
      <c r="D1058" s="138" t="s">
        <v>934</v>
      </c>
      <c r="E1058" s="138" t="s">
        <v>934</v>
      </c>
      <c r="F1058" s="138" t="s">
        <v>934</v>
      </c>
      <c r="G1058" s="138" t="s">
        <v>934</v>
      </c>
      <c r="H1058" s="138" t="s">
        <v>934</v>
      </c>
      <c r="I1058" s="129">
        <f>I1059</f>
        <v>1801.1</v>
      </c>
      <c r="J1058" s="129">
        <f t="shared" ref="J1058:L1058" si="359">J1059</f>
        <v>277.10000000000002</v>
      </c>
      <c r="K1058" s="129">
        <f t="shared" si="359"/>
        <v>277.10000000000002</v>
      </c>
      <c r="L1058" s="139">
        <f t="shared" si="359"/>
        <v>15</v>
      </c>
      <c r="M1058" s="138" t="s">
        <v>934</v>
      </c>
      <c r="N1058" s="138" t="s">
        <v>934</v>
      </c>
      <c r="O1058" s="136" t="s">
        <v>934</v>
      </c>
      <c r="P1058" s="130">
        <v>4369866.08</v>
      </c>
      <c r="Q1058" s="130">
        <f t="shared" ref="Q1058:S1058" si="360">Q1059</f>
        <v>0</v>
      </c>
      <c r="R1058" s="130">
        <f t="shared" si="360"/>
        <v>0</v>
      </c>
      <c r="S1058" s="130">
        <f t="shared" si="360"/>
        <v>4369866.08</v>
      </c>
      <c r="T1058" s="130">
        <f t="shared" si="346"/>
        <v>2426.2206873577261</v>
      </c>
      <c r="U1058" s="130">
        <f>U1059</f>
        <v>4037.9148187218925</v>
      </c>
    </row>
    <row r="1059" spans="1:184" s="20" customFormat="1" ht="36" customHeight="1" x14ac:dyDescent="0.9">
      <c r="A1059" s="64">
        <v>1</v>
      </c>
      <c r="B1059" s="96">
        <f>SUBTOTAL(103,$A$923:A1059)</f>
        <v>128</v>
      </c>
      <c r="C1059" s="128" t="s">
        <v>715</v>
      </c>
      <c r="D1059" s="138">
        <v>1968</v>
      </c>
      <c r="E1059" s="138"/>
      <c r="F1059" s="169" t="s">
        <v>273</v>
      </c>
      <c r="G1059" s="138">
        <v>2</v>
      </c>
      <c r="H1059" s="138">
        <v>1</v>
      </c>
      <c r="I1059" s="129">
        <v>1801.1</v>
      </c>
      <c r="J1059" s="129">
        <v>277.10000000000002</v>
      </c>
      <c r="K1059" s="129">
        <v>277.10000000000002</v>
      </c>
      <c r="L1059" s="140">
        <v>15</v>
      </c>
      <c r="M1059" s="138" t="s">
        <v>271</v>
      </c>
      <c r="N1059" s="138" t="s">
        <v>275</v>
      </c>
      <c r="O1059" s="138" t="s">
        <v>762</v>
      </c>
      <c r="P1059" s="129">
        <v>4369866.08</v>
      </c>
      <c r="Q1059" s="129">
        <v>0</v>
      </c>
      <c r="R1059" s="129">
        <v>0</v>
      </c>
      <c r="S1059" s="129">
        <f>P1059-Q1059-R1059</f>
        <v>4369866.08</v>
      </c>
      <c r="T1059" s="130">
        <f t="shared" si="346"/>
        <v>2426.2206873577261</v>
      </c>
      <c r="U1059" s="130">
        <v>4037.9148187218925</v>
      </c>
      <c r="DJ1059" s="131"/>
      <c r="DK1059" s="131"/>
      <c r="DL1059" s="131"/>
      <c r="DZ1059" s="132"/>
      <c r="EI1059" s="133"/>
      <c r="FL1059" s="134"/>
      <c r="GB1059" s="135"/>
    </row>
    <row r="1060" spans="1:184" s="64" customFormat="1" ht="36" customHeight="1" x14ac:dyDescent="0.9">
      <c r="B1060" s="94" t="s">
        <v>863</v>
      </c>
      <c r="C1060" s="94"/>
      <c r="D1060" s="138" t="s">
        <v>934</v>
      </c>
      <c r="E1060" s="138" t="s">
        <v>934</v>
      </c>
      <c r="F1060" s="138" t="s">
        <v>934</v>
      </c>
      <c r="G1060" s="138" t="s">
        <v>934</v>
      </c>
      <c r="H1060" s="138" t="s">
        <v>934</v>
      </c>
      <c r="I1060" s="129">
        <f>I1061</f>
        <v>1070.8</v>
      </c>
      <c r="J1060" s="129">
        <f t="shared" ref="J1060:L1060" si="361">J1061</f>
        <v>942</v>
      </c>
      <c r="K1060" s="129">
        <f t="shared" si="361"/>
        <v>942</v>
      </c>
      <c r="L1060" s="139">
        <f t="shared" si="361"/>
        <v>42</v>
      </c>
      <c r="M1060" s="138" t="s">
        <v>934</v>
      </c>
      <c r="N1060" s="138" t="s">
        <v>934</v>
      </c>
      <c r="O1060" s="136" t="s">
        <v>934</v>
      </c>
      <c r="P1060" s="130">
        <v>2936950.21</v>
      </c>
      <c r="Q1060" s="130">
        <f t="shared" ref="Q1060:S1060" si="362">Q1061</f>
        <v>0</v>
      </c>
      <c r="R1060" s="130">
        <f t="shared" si="362"/>
        <v>0</v>
      </c>
      <c r="S1060" s="130">
        <f t="shared" si="362"/>
        <v>2936950.21</v>
      </c>
      <c r="T1060" s="130">
        <f t="shared" si="346"/>
        <v>2742.7626167351514</v>
      </c>
      <c r="U1060" s="130">
        <f>U1061</f>
        <v>5282.9910627568179</v>
      </c>
    </row>
    <row r="1061" spans="1:184" s="20" customFormat="1" ht="36" customHeight="1" x14ac:dyDescent="0.9">
      <c r="A1061" s="64">
        <v>1</v>
      </c>
      <c r="B1061" s="96">
        <f>SUBTOTAL(103,$A$923:A1061)</f>
        <v>129</v>
      </c>
      <c r="C1061" s="128" t="s">
        <v>730</v>
      </c>
      <c r="D1061" s="138">
        <v>1979</v>
      </c>
      <c r="E1061" s="138"/>
      <c r="F1061" s="169" t="s">
        <v>273</v>
      </c>
      <c r="G1061" s="138">
        <v>2</v>
      </c>
      <c r="H1061" s="138">
        <v>3</v>
      </c>
      <c r="I1061" s="129">
        <v>1070.8</v>
      </c>
      <c r="J1061" s="129">
        <v>942</v>
      </c>
      <c r="K1061" s="129">
        <v>942</v>
      </c>
      <c r="L1061" s="140">
        <v>42</v>
      </c>
      <c r="M1061" s="138" t="s">
        <v>271</v>
      </c>
      <c r="N1061" s="138" t="s">
        <v>349</v>
      </c>
      <c r="O1061" s="138" t="s">
        <v>766</v>
      </c>
      <c r="P1061" s="129">
        <v>2936950.21</v>
      </c>
      <c r="Q1061" s="129">
        <v>0</v>
      </c>
      <c r="R1061" s="129">
        <v>0</v>
      </c>
      <c r="S1061" s="129">
        <f>P1061-Q1061-R1061</f>
        <v>2936950.21</v>
      </c>
      <c r="T1061" s="130">
        <f t="shared" si="346"/>
        <v>2742.7626167351514</v>
      </c>
      <c r="U1061" s="130">
        <v>5282.9910627568179</v>
      </c>
      <c r="DJ1061" s="131"/>
      <c r="DK1061" s="131"/>
      <c r="DL1061" s="131"/>
      <c r="DZ1061" s="132"/>
      <c r="EI1061" s="133"/>
      <c r="FL1061" s="134"/>
      <c r="GB1061" s="135"/>
    </row>
    <row r="1062" spans="1:184" s="64" customFormat="1" ht="36" customHeight="1" x14ac:dyDescent="0.9">
      <c r="B1062" s="94" t="s">
        <v>864</v>
      </c>
      <c r="C1062" s="94"/>
      <c r="D1062" s="138" t="s">
        <v>934</v>
      </c>
      <c r="E1062" s="138" t="s">
        <v>934</v>
      </c>
      <c r="F1062" s="138" t="s">
        <v>934</v>
      </c>
      <c r="G1062" s="138" t="s">
        <v>934</v>
      </c>
      <c r="H1062" s="138" t="s">
        <v>934</v>
      </c>
      <c r="I1062" s="129">
        <f>I1063+I1064</f>
        <v>1547.1</v>
      </c>
      <c r="J1062" s="129">
        <f t="shared" ref="J1062:L1062" si="363">J1063+J1064</f>
        <v>1426.8</v>
      </c>
      <c r="K1062" s="129">
        <f t="shared" si="363"/>
        <v>275.39999999999998</v>
      </c>
      <c r="L1062" s="139">
        <f t="shared" si="363"/>
        <v>72</v>
      </c>
      <c r="M1062" s="138" t="s">
        <v>934</v>
      </c>
      <c r="N1062" s="138" t="s">
        <v>934</v>
      </c>
      <c r="O1062" s="136" t="s">
        <v>934</v>
      </c>
      <c r="P1062" s="130">
        <v>2773728.46</v>
      </c>
      <c r="Q1062" s="130">
        <f t="shared" ref="Q1062:S1062" si="364">Q1063+Q1064</f>
        <v>0</v>
      </c>
      <c r="R1062" s="130">
        <f t="shared" si="364"/>
        <v>0</v>
      </c>
      <c r="S1062" s="130">
        <f t="shared" si="364"/>
        <v>2773728.46</v>
      </c>
      <c r="T1062" s="130">
        <f t="shared" si="346"/>
        <v>1792.8566091396808</v>
      </c>
      <c r="U1062" s="130">
        <f>MAX(U1063:U1064)</f>
        <v>3508.1767510626501</v>
      </c>
    </row>
    <row r="1063" spans="1:184" s="20" customFormat="1" ht="36" customHeight="1" x14ac:dyDescent="0.9">
      <c r="A1063" s="64">
        <v>1</v>
      </c>
      <c r="B1063" s="96">
        <f>SUBTOTAL(103,$A$923:A1063)</f>
        <v>130</v>
      </c>
      <c r="C1063" s="128" t="s">
        <v>722</v>
      </c>
      <c r="D1063" s="138">
        <v>1971</v>
      </c>
      <c r="E1063" s="138"/>
      <c r="F1063" s="169" t="s">
        <v>273</v>
      </c>
      <c r="G1063" s="138">
        <v>3</v>
      </c>
      <c r="H1063" s="138">
        <v>2</v>
      </c>
      <c r="I1063" s="129">
        <v>1082.2</v>
      </c>
      <c r="J1063" s="129">
        <v>1018.1</v>
      </c>
      <c r="K1063" s="129">
        <v>114.5</v>
      </c>
      <c r="L1063" s="140">
        <v>44</v>
      </c>
      <c r="M1063" s="138" t="s">
        <v>271</v>
      </c>
      <c r="N1063" s="138" t="s">
        <v>272</v>
      </c>
      <c r="O1063" s="138" t="s">
        <v>274</v>
      </c>
      <c r="P1063" s="129">
        <v>2539091.92</v>
      </c>
      <c r="Q1063" s="129">
        <v>0</v>
      </c>
      <c r="R1063" s="129">
        <v>0</v>
      </c>
      <c r="S1063" s="129">
        <f t="shared" ref="S1063:S1064" si="365">P1063-Q1063-R1063</f>
        <v>2539091.92</v>
      </c>
      <c r="T1063" s="130">
        <f t="shared" si="346"/>
        <v>2346.2316762151172</v>
      </c>
      <c r="U1063" s="130">
        <v>3508.1767510626501</v>
      </c>
      <c r="DJ1063" s="131"/>
      <c r="DK1063" s="131"/>
      <c r="DL1063" s="131"/>
      <c r="DZ1063" s="132"/>
      <c r="EI1063" s="133"/>
      <c r="FL1063" s="134"/>
      <c r="GB1063" s="135"/>
    </row>
    <row r="1064" spans="1:184" s="20" customFormat="1" ht="36" customHeight="1" x14ac:dyDescent="0.9">
      <c r="A1064" s="64">
        <v>1</v>
      </c>
      <c r="B1064" s="96">
        <f>SUBTOTAL(103,$A$923:A1064)</f>
        <v>131</v>
      </c>
      <c r="C1064" s="128" t="s">
        <v>733</v>
      </c>
      <c r="D1064" s="138">
        <v>1964</v>
      </c>
      <c r="E1064" s="138"/>
      <c r="F1064" s="169" t="s">
        <v>273</v>
      </c>
      <c r="G1064" s="138">
        <v>2</v>
      </c>
      <c r="H1064" s="138">
        <v>2</v>
      </c>
      <c r="I1064" s="129">
        <v>464.9</v>
      </c>
      <c r="J1064" s="129">
        <v>408.7</v>
      </c>
      <c r="K1064" s="129">
        <v>160.9</v>
      </c>
      <c r="L1064" s="140">
        <v>28</v>
      </c>
      <c r="M1064" s="138" t="s">
        <v>271</v>
      </c>
      <c r="N1064" s="138" t="s">
        <v>272</v>
      </c>
      <c r="O1064" s="138" t="s">
        <v>274</v>
      </c>
      <c r="P1064" s="129">
        <v>234636.54</v>
      </c>
      <c r="Q1064" s="129">
        <v>0</v>
      </c>
      <c r="R1064" s="129">
        <v>0</v>
      </c>
      <c r="S1064" s="129">
        <f t="shared" si="365"/>
        <v>234636.54</v>
      </c>
      <c r="T1064" s="130">
        <f t="shared" si="346"/>
        <v>504.70324801032484</v>
      </c>
      <c r="U1064" s="130">
        <v>673.78</v>
      </c>
      <c r="DJ1064" s="131"/>
      <c r="DK1064" s="131"/>
      <c r="DL1064" s="131"/>
      <c r="DZ1064" s="132"/>
      <c r="EI1064" s="133"/>
      <c r="FL1064" s="134"/>
      <c r="GB1064" s="135"/>
    </row>
    <row r="1065" spans="1:184" s="64" customFormat="1" ht="36" customHeight="1" x14ac:dyDescent="0.9">
      <c r="B1065" s="94" t="s">
        <v>928</v>
      </c>
      <c r="C1065" s="94"/>
      <c r="D1065" s="138" t="s">
        <v>934</v>
      </c>
      <c r="E1065" s="138" t="s">
        <v>934</v>
      </c>
      <c r="F1065" s="138" t="s">
        <v>934</v>
      </c>
      <c r="G1065" s="138" t="s">
        <v>934</v>
      </c>
      <c r="H1065" s="138" t="s">
        <v>934</v>
      </c>
      <c r="I1065" s="129">
        <f>I1066</f>
        <v>455.7</v>
      </c>
      <c r="J1065" s="129">
        <f t="shared" ref="J1065:L1065" si="366">J1066</f>
        <v>413.6</v>
      </c>
      <c r="K1065" s="129">
        <f t="shared" si="366"/>
        <v>413.6</v>
      </c>
      <c r="L1065" s="139">
        <f t="shared" si="366"/>
        <v>26</v>
      </c>
      <c r="M1065" s="138" t="s">
        <v>934</v>
      </c>
      <c r="N1065" s="138" t="s">
        <v>934</v>
      </c>
      <c r="O1065" s="136" t="s">
        <v>934</v>
      </c>
      <c r="P1065" s="130">
        <v>2158336.3499999996</v>
      </c>
      <c r="Q1065" s="130">
        <f t="shared" ref="Q1065:S1065" si="367">Q1066</f>
        <v>0</v>
      </c>
      <c r="R1065" s="130">
        <f t="shared" si="367"/>
        <v>0</v>
      </c>
      <c r="S1065" s="130">
        <f t="shared" si="367"/>
        <v>2158336.3499999996</v>
      </c>
      <c r="T1065" s="130">
        <f t="shared" si="346"/>
        <v>4736.309743252139</v>
      </c>
      <c r="U1065" s="130">
        <f>U1066</f>
        <v>5213.6620144832123</v>
      </c>
    </row>
    <row r="1066" spans="1:184" s="20" customFormat="1" ht="36" customHeight="1" x14ac:dyDescent="0.9">
      <c r="A1066" s="64">
        <v>1</v>
      </c>
      <c r="B1066" s="96">
        <f>SUBTOTAL(103,$A$923:A1066)</f>
        <v>132</v>
      </c>
      <c r="C1066" s="128" t="s">
        <v>714</v>
      </c>
      <c r="D1066" s="138">
        <v>1962</v>
      </c>
      <c r="E1066" s="138"/>
      <c r="F1066" s="169" t="s">
        <v>273</v>
      </c>
      <c r="G1066" s="138">
        <v>2</v>
      </c>
      <c r="H1066" s="138">
        <v>2</v>
      </c>
      <c r="I1066" s="129">
        <v>455.7</v>
      </c>
      <c r="J1066" s="129">
        <v>413.6</v>
      </c>
      <c r="K1066" s="129">
        <v>413.6</v>
      </c>
      <c r="L1066" s="140">
        <v>26</v>
      </c>
      <c r="M1066" s="138" t="s">
        <v>271</v>
      </c>
      <c r="N1066" s="138" t="s">
        <v>272</v>
      </c>
      <c r="O1066" s="138" t="s">
        <v>274</v>
      </c>
      <c r="P1066" s="129">
        <v>2158336.3499999996</v>
      </c>
      <c r="Q1066" s="129">
        <v>0</v>
      </c>
      <c r="R1066" s="129">
        <v>0</v>
      </c>
      <c r="S1066" s="129">
        <f>P1066-Q1066-R1066</f>
        <v>2158336.3499999996</v>
      </c>
      <c r="T1066" s="130">
        <f t="shared" si="346"/>
        <v>4736.309743252139</v>
      </c>
      <c r="U1066" s="130">
        <v>5213.6620144832123</v>
      </c>
      <c r="DJ1066" s="131"/>
      <c r="DK1066" s="131"/>
      <c r="DL1066" s="131"/>
      <c r="DZ1066" s="132"/>
      <c r="EI1066" s="133"/>
      <c r="FL1066" s="134"/>
      <c r="GB1066" s="135"/>
    </row>
    <row r="1067" spans="1:184" s="64" customFormat="1" ht="36" customHeight="1" x14ac:dyDescent="0.9">
      <c r="B1067" s="94" t="s">
        <v>865</v>
      </c>
      <c r="C1067" s="94"/>
      <c r="D1067" s="138" t="s">
        <v>934</v>
      </c>
      <c r="E1067" s="138" t="s">
        <v>934</v>
      </c>
      <c r="F1067" s="138" t="s">
        <v>934</v>
      </c>
      <c r="G1067" s="138" t="s">
        <v>934</v>
      </c>
      <c r="H1067" s="138" t="s">
        <v>934</v>
      </c>
      <c r="I1067" s="129">
        <f>I1068</f>
        <v>3156.2</v>
      </c>
      <c r="J1067" s="129">
        <f t="shared" ref="J1067:L1067" si="368">J1068</f>
        <v>2811.5</v>
      </c>
      <c r="K1067" s="129">
        <f t="shared" si="368"/>
        <v>759.56</v>
      </c>
      <c r="L1067" s="139">
        <f t="shared" si="368"/>
        <v>156</v>
      </c>
      <c r="M1067" s="138" t="s">
        <v>934</v>
      </c>
      <c r="N1067" s="138" t="s">
        <v>934</v>
      </c>
      <c r="O1067" s="136" t="s">
        <v>934</v>
      </c>
      <c r="P1067" s="129">
        <v>2000000</v>
      </c>
      <c r="Q1067" s="129">
        <f t="shared" ref="Q1067:S1067" si="369">Q1068</f>
        <v>0</v>
      </c>
      <c r="R1067" s="129">
        <f t="shared" si="369"/>
        <v>0</v>
      </c>
      <c r="S1067" s="129">
        <f t="shared" si="369"/>
        <v>2000000</v>
      </c>
      <c r="T1067" s="130">
        <f t="shared" si="346"/>
        <v>633.67340472720366</v>
      </c>
      <c r="U1067" s="130">
        <f>U1068</f>
        <v>1292.7193948418985</v>
      </c>
    </row>
    <row r="1068" spans="1:184" s="64" customFormat="1" ht="36" customHeight="1" x14ac:dyDescent="0.9">
      <c r="A1068" s="64">
        <v>1</v>
      </c>
      <c r="B1068" s="96">
        <f>SUBTOTAL(103,$A$923:A1068)</f>
        <v>133</v>
      </c>
      <c r="C1068" s="94" t="s">
        <v>729</v>
      </c>
      <c r="D1068" s="138">
        <v>1990</v>
      </c>
      <c r="E1068" s="138"/>
      <c r="F1068" s="167" t="s">
        <v>765</v>
      </c>
      <c r="G1068" s="138">
        <v>5</v>
      </c>
      <c r="H1068" s="138">
        <v>4</v>
      </c>
      <c r="I1068" s="129">
        <v>3156.2</v>
      </c>
      <c r="J1068" s="129">
        <v>2811.5</v>
      </c>
      <c r="K1068" s="129">
        <v>759.56</v>
      </c>
      <c r="L1068" s="139">
        <v>156</v>
      </c>
      <c r="M1068" s="138" t="s">
        <v>271</v>
      </c>
      <c r="N1068" s="138" t="s">
        <v>275</v>
      </c>
      <c r="O1068" s="136" t="s">
        <v>762</v>
      </c>
      <c r="P1068" s="130">
        <v>2000000</v>
      </c>
      <c r="Q1068" s="130">
        <v>0</v>
      </c>
      <c r="R1068" s="130">
        <v>0</v>
      </c>
      <c r="S1068" s="130">
        <f>P1068-Q1068-R1068</f>
        <v>2000000</v>
      </c>
      <c r="T1068" s="130">
        <f t="shared" si="346"/>
        <v>633.67340472720366</v>
      </c>
      <c r="U1068" s="130">
        <v>1292.7193948418985</v>
      </c>
    </row>
    <row r="1069" spans="1:184" s="64" customFormat="1" ht="36" customHeight="1" x14ac:dyDescent="0.9">
      <c r="B1069" s="94" t="s">
        <v>866</v>
      </c>
      <c r="C1069" s="94"/>
      <c r="D1069" s="138" t="s">
        <v>934</v>
      </c>
      <c r="E1069" s="138" t="s">
        <v>934</v>
      </c>
      <c r="F1069" s="138" t="s">
        <v>934</v>
      </c>
      <c r="G1069" s="138" t="s">
        <v>934</v>
      </c>
      <c r="H1069" s="138" t="s">
        <v>934</v>
      </c>
      <c r="I1069" s="129">
        <f>SUM(I1070:I1076)</f>
        <v>11855.599999999999</v>
      </c>
      <c r="J1069" s="129">
        <f t="shared" ref="J1069:L1069" si="370">SUM(J1070:J1076)</f>
        <v>10339</v>
      </c>
      <c r="K1069" s="129">
        <f t="shared" si="370"/>
        <v>10137.5</v>
      </c>
      <c r="L1069" s="139">
        <f t="shared" si="370"/>
        <v>299</v>
      </c>
      <c r="M1069" s="138" t="s">
        <v>934</v>
      </c>
      <c r="N1069" s="138" t="s">
        <v>934</v>
      </c>
      <c r="O1069" s="136" t="s">
        <v>934</v>
      </c>
      <c r="P1069" s="130">
        <v>23342011.919999998</v>
      </c>
      <c r="Q1069" s="130">
        <f t="shared" ref="Q1069:S1069" si="371">SUM(Q1070:Q1076)</f>
        <v>0</v>
      </c>
      <c r="R1069" s="130">
        <f t="shared" si="371"/>
        <v>0</v>
      </c>
      <c r="S1069" s="130">
        <f t="shared" si="371"/>
        <v>23342011.919999998</v>
      </c>
      <c r="T1069" s="130">
        <f t="shared" si="346"/>
        <v>1968.8596039002666</v>
      </c>
      <c r="U1069" s="130">
        <f>MAX(U1070:U1076)</f>
        <v>18171.963277202074</v>
      </c>
    </row>
    <row r="1070" spans="1:184" s="20" customFormat="1" ht="36" customHeight="1" x14ac:dyDescent="0.9">
      <c r="A1070" s="64">
        <v>1</v>
      </c>
      <c r="B1070" s="96">
        <f>SUBTOTAL(103,$A$923:A1070)</f>
        <v>134</v>
      </c>
      <c r="C1070" s="128" t="s">
        <v>701</v>
      </c>
      <c r="D1070" s="138">
        <v>1976</v>
      </c>
      <c r="E1070" s="138"/>
      <c r="F1070" s="169" t="s">
        <v>338</v>
      </c>
      <c r="G1070" s="138">
        <v>2</v>
      </c>
      <c r="H1070" s="138">
        <v>2</v>
      </c>
      <c r="I1070" s="129">
        <v>279.7</v>
      </c>
      <c r="J1070" s="129">
        <v>175.8</v>
      </c>
      <c r="K1070" s="129">
        <v>175.8</v>
      </c>
      <c r="L1070" s="140">
        <v>12</v>
      </c>
      <c r="M1070" s="138" t="s">
        <v>271</v>
      </c>
      <c r="N1070" s="138" t="s">
        <v>272</v>
      </c>
      <c r="O1070" s="138" t="s">
        <v>274</v>
      </c>
      <c r="P1070" s="129">
        <v>1358190.18</v>
      </c>
      <c r="Q1070" s="129">
        <v>0</v>
      </c>
      <c r="R1070" s="129">
        <v>0</v>
      </c>
      <c r="S1070" s="129">
        <f t="shared" ref="S1070:S1076" si="372">P1070-Q1070-R1070</f>
        <v>1358190.18</v>
      </c>
      <c r="T1070" s="130">
        <f t="shared" si="346"/>
        <v>4855.8819449410084</v>
      </c>
      <c r="U1070" s="130">
        <v>5621.8239041830539</v>
      </c>
      <c r="DJ1070" s="131"/>
      <c r="DK1070" s="131"/>
      <c r="DL1070" s="131"/>
      <c r="DZ1070" s="132"/>
      <c r="EI1070" s="133"/>
      <c r="FL1070" s="134"/>
      <c r="GB1070" s="135"/>
    </row>
    <row r="1071" spans="1:184" s="20" customFormat="1" ht="36" customHeight="1" x14ac:dyDescent="0.9">
      <c r="A1071" s="64">
        <v>1</v>
      </c>
      <c r="B1071" s="96">
        <f>SUBTOTAL(103,$A$923:A1071)</f>
        <v>135</v>
      </c>
      <c r="C1071" s="128" t="s">
        <v>702</v>
      </c>
      <c r="D1071" s="138">
        <v>1981</v>
      </c>
      <c r="E1071" s="138"/>
      <c r="F1071" s="169" t="s">
        <v>273</v>
      </c>
      <c r="G1071" s="138">
        <v>5</v>
      </c>
      <c r="H1071" s="138">
        <v>2</v>
      </c>
      <c r="I1071" s="129">
        <v>2798</v>
      </c>
      <c r="J1071" s="129">
        <v>1711.4</v>
      </c>
      <c r="K1071" s="129">
        <v>1700.7</v>
      </c>
      <c r="L1071" s="140">
        <v>14</v>
      </c>
      <c r="M1071" s="138" t="s">
        <v>271</v>
      </c>
      <c r="N1071" s="138" t="s">
        <v>275</v>
      </c>
      <c r="O1071" s="138" t="s">
        <v>760</v>
      </c>
      <c r="P1071" s="129">
        <v>3973325</v>
      </c>
      <c r="Q1071" s="129">
        <v>0</v>
      </c>
      <c r="R1071" s="129">
        <v>0</v>
      </c>
      <c r="S1071" s="129">
        <f t="shared" si="372"/>
        <v>3973325</v>
      </c>
      <c r="T1071" s="130">
        <f t="shared" si="346"/>
        <v>1420.0589706933524</v>
      </c>
      <c r="U1071" s="130">
        <v>1836.5407433881344</v>
      </c>
      <c r="DJ1071" s="131"/>
      <c r="DK1071" s="131"/>
      <c r="DL1071" s="131"/>
      <c r="DZ1071" s="132"/>
      <c r="EI1071" s="133"/>
      <c r="FL1071" s="134"/>
      <c r="GB1071" s="135"/>
    </row>
    <row r="1072" spans="1:184" s="20" customFormat="1" ht="36" customHeight="1" x14ac:dyDescent="0.9">
      <c r="A1072" s="64">
        <v>1</v>
      </c>
      <c r="B1072" s="96">
        <f>SUBTOTAL(103,$A$923:A1072)</f>
        <v>136</v>
      </c>
      <c r="C1072" s="128" t="s">
        <v>727</v>
      </c>
      <c r="D1072" s="138">
        <v>1980</v>
      </c>
      <c r="E1072" s="138"/>
      <c r="F1072" s="169" t="s">
        <v>273</v>
      </c>
      <c r="G1072" s="138">
        <v>2</v>
      </c>
      <c r="H1072" s="138">
        <v>3</v>
      </c>
      <c r="I1072" s="129">
        <v>939.9</v>
      </c>
      <c r="J1072" s="129">
        <v>833.2</v>
      </c>
      <c r="K1072" s="129">
        <v>830.3</v>
      </c>
      <c r="L1072" s="140">
        <v>21</v>
      </c>
      <c r="M1072" s="138" t="s">
        <v>271</v>
      </c>
      <c r="N1072" s="138" t="s">
        <v>275</v>
      </c>
      <c r="O1072" s="138" t="s">
        <v>1154</v>
      </c>
      <c r="P1072" s="129">
        <v>2687908</v>
      </c>
      <c r="Q1072" s="129">
        <v>0</v>
      </c>
      <c r="R1072" s="129">
        <v>0</v>
      </c>
      <c r="S1072" s="129">
        <f t="shared" si="372"/>
        <v>2687908</v>
      </c>
      <c r="T1072" s="130">
        <f t="shared" si="346"/>
        <v>2859.7808277476329</v>
      </c>
      <c r="U1072" s="130">
        <v>3540.8295882540697</v>
      </c>
      <c r="DJ1072" s="131"/>
      <c r="DK1072" s="131"/>
      <c r="DL1072" s="131"/>
      <c r="DZ1072" s="132"/>
      <c r="EI1072" s="133"/>
      <c r="FL1072" s="134"/>
      <c r="GB1072" s="135"/>
    </row>
    <row r="1073" spans="1:184" s="20" customFormat="1" ht="36" customHeight="1" x14ac:dyDescent="0.9">
      <c r="A1073" s="64">
        <v>1</v>
      </c>
      <c r="B1073" s="96">
        <f>SUBTOTAL(103,$A$923:A1073)</f>
        <v>137</v>
      </c>
      <c r="C1073" s="128" t="s">
        <v>711</v>
      </c>
      <c r="D1073" s="138">
        <v>1917</v>
      </c>
      <c r="E1073" s="138"/>
      <c r="F1073" s="169" t="s">
        <v>273</v>
      </c>
      <c r="G1073" s="138">
        <v>2</v>
      </c>
      <c r="H1073" s="138">
        <v>1</v>
      </c>
      <c r="I1073" s="129">
        <v>231.6</v>
      </c>
      <c r="J1073" s="129">
        <v>130.9</v>
      </c>
      <c r="K1073" s="129">
        <v>101.7</v>
      </c>
      <c r="L1073" s="140">
        <v>12</v>
      </c>
      <c r="M1073" s="138" t="s">
        <v>271</v>
      </c>
      <c r="N1073" s="138" t="s">
        <v>272</v>
      </c>
      <c r="O1073" s="138" t="s">
        <v>274</v>
      </c>
      <c r="P1073" s="129">
        <v>3058347.5</v>
      </c>
      <c r="Q1073" s="129">
        <v>0</v>
      </c>
      <c r="R1073" s="129">
        <v>0</v>
      </c>
      <c r="S1073" s="129">
        <f t="shared" si="372"/>
        <v>3058347.5</v>
      </c>
      <c r="T1073" s="130">
        <f t="shared" si="346"/>
        <v>13205.300086355786</v>
      </c>
      <c r="U1073" s="130">
        <v>18171.963277202074</v>
      </c>
      <c r="DJ1073" s="131"/>
      <c r="DK1073" s="131"/>
      <c r="DL1073" s="131"/>
      <c r="DZ1073" s="132"/>
      <c r="EI1073" s="133"/>
      <c r="FL1073" s="134"/>
      <c r="GB1073" s="135"/>
    </row>
    <row r="1074" spans="1:184" s="20" customFormat="1" ht="36" customHeight="1" x14ac:dyDescent="0.9">
      <c r="A1074" s="64">
        <v>1</v>
      </c>
      <c r="B1074" s="96">
        <f>SUBTOTAL(103,$A$923:A1074)</f>
        <v>138</v>
      </c>
      <c r="C1074" s="128" t="s">
        <v>710</v>
      </c>
      <c r="D1074" s="138">
        <v>1993</v>
      </c>
      <c r="E1074" s="138"/>
      <c r="F1074" s="169" t="s">
        <v>319</v>
      </c>
      <c r="G1074" s="138">
        <v>5</v>
      </c>
      <c r="H1074" s="138">
        <v>5</v>
      </c>
      <c r="I1074" s="129">
        <v>3247</v>
      </c>
      <c r="J1074" s="129">
        <v>3245</v>
      </c>
      <c r="K1074" s="129">
        <v>3245</v>
      </c>
      <c r="L1074" s="140">
        <v>121</v>
      </c>
      <c r="M1074" s="138" t="s">
        <v>271</v>
      </c>
      <c r="N1074" s="138" t="s">
        <v>349</v>
      </c>
      <c r="O1074" s="138" t="s">
        <v>763</v>
      </c>
      <c r="P1074" s="129">
        <v>5240868.3999999994</v>
      </c>
      <c r="Q1074" s="129">
        <v>0</v>
      </c>
      <c r="R1074" s="129">
        <v>0</v>
      </c>
      <c r="S1074" s="129">
        <f t="shared" si="372"/>
        <v>5240868.3999999994</v>
      </c>
      <c r="T1074" s="130">
        <f t="shared" si="346"/>
        <v>1614.064798275331</v>
      </c>
      <c r="U1074" s="130">
        <v>1768.7671696951031</v>
      </c>
      <c r="DJ1074" s="131"/>
      <c r="DK1074" s="131"/>
      <c r="DL1074" s="131"/>
      <c r="DZ1074" s="132"/>
      <c r="EI1074" s="133"/>
      <c r="FL1074" s="134"/>
      <c r="GB1074" s="135"/>
    </row>
    <row r="1075" spans="1:184" s="20" customFormat="1" ht="36" customHeight="1" x14ac:dyDescent="0.9">
      <c r="A1075" s="64">
        <v>1</v>
      </c>
      <c r="B1075" s="96">
        <f>SUBTOTAL(103,$A$923:A1075)</f>
        <v>139</v>
      </c>
      <c r="C1075" s="128" t="s">
        <v>696</v>
      </c>
      <c r="D1075" s="138">
        <v>1927</v>
      </c>
      <c r="E1075" s="138"/>
      <c r="F1075" s="169" t="s">
        <v>273</v>
      </c>
      <c r="G1075" s="138">
        <v>2</v>
      </c>
      <c r="H1075" s="138">
        <v>2</v>
      </c>
      <c r="I1075" s="129">
        <v>525.4</v>
      </c>
      <c r="J1075" s="129">
        <v>408.7</v>
      </c>
      <c r="K1075" s="129">
        <v>282</v>
      </c>
      <c r="L1075" s="140">
        <v>32</v>
      </c>
      <c r="M1075" s="138" t="s">
        <v>271</v>
      </c>
      <c r="N1075" s="138" t="s">
        <v>272</v>
      </c>
      <c r="O1075" s="138" t="s">
        <v>274</v>
      </c>
      <c r="P1075" s="129">
        <v>2526766.84</v>
      </c>
      <c r="Q1075" s="129">
        <v>0</v>
      </c>
      <c r="R1075" s="129">
        <v>0</v>
      </c>
      <c r="S1075" s="129">
        <f t="shared" si="372"/>
        <v>2526766.84</v>
      </c>
      <c r="T1075" s="130">
        <f t="shared" si="346"/>
        <v>4809.2250475827941</v>
      </c>
      <c r="U1075" s="130">
        <v>6328.517320137039</v>
      </c>
      <c r="DJ1075" s="131"/>
      <c r="DK1075" s="131"/>
      <c r="DL1075" s="131"/>
      <c r="DZ1075" s="132"/>
      <c r="EI1075" s="133"/>
      <c r="FL1075" s="134"/>
      <c r="GB1075" s="135"/>
    </row>
    <row r="1076" spans="1:184" s="20" customFormat="1" ht="36" customHeight="1" x14ac:dyDescent="0.9">
      <c r="A1076" s="64">
        <v>1</v>
      </c>
      <c r="B1076" s="96">
        <f>SUBTOTAL(103,$A$923:A1076)</f>
        <v>140</v>
      </c>
      <c r="C1076" s="128" t="s">
        <v>697</v>
      </c>
      <c r="D1076" s="138">
        <v>1983</v>
      </c>
      <c r="E1076" s="138"/>
      <c r="F1076" s="169" t="s">
        <v>273</v>
      </c>
      <c r="G1076" s="138">
        <v>9</v>
      </c>
      <c r="H1076" s="138">
        <v>2</v>
      </c>
      <c r="I1076" s="129">
        <v>3834</v>
      </c>
      <c r="J1076" s="129">
        <v>3834</v>
      </c>
      <c r="K1076" s="129">
        <v>3802</v>
      </c>
      <c r="L1076" s="140">
        <v>87</v>
      </c>
      <c r="M1076" s="138" t="s">
        <v>271</v>
      </c>
      <c r="N1076" s="138" t="s">
        <v>349</v>
      </c>
      <c r="O1076" s="138" t="s">
        <v>767</v>
      </c>
      <c r="P1076" s="129">
        <v>4496606</v>
      </c>
      <c r="Q1076" s="129">
        <v>0</v>
      </c>
      <c r="R1076" s="129">
        <v>0</v>
      </c>
      <c r="S1076" s="129">
        <f t="shared" si="372"/>
        <v>4496606</v>
      </c>
      <c r="T1076" s="130">
        <f t="shared" si="346"/>
        <v>1172.8236828377674</v>
      </c>
      <c r="U1076" s="130">
        <v>1172.8236828377674</v>
      </c>
      <c r="DJ1076" s="131"/>
      <c r="DK1076" s="131"/>
      <c r="DL1076" s="131"/>
      <c r="DZ1076" s="132"/>
      <c r="EI1076" s="133"/>
      <c r="FL1076" s="134"/>
      <c r="GB1076" s="135"/>
    </row>
    <row r="1077" spans="1:184" s="64" customFormat="1" ht="36" customHeight="1" x14ac:dyDescent="0.9">
      <c r="B1077" s="94" t="s">
        <v>867</v>
      </c>
      <c r="C1077" s="126"/>
      <c r="D1077" s="138" t="s">
        <v>934</v>
      </c>
      <c r="E1077" s="138" t="s">
        <v>934</v>
      </c>
      <c r="F1077" s="138" t="s">
        <v>934</v>
      </c>
      <c r="G1077" s="138" t="s">
        <v>934</v>
      </c>
      <c r="H1077" s="138" t="s">
        <v>934</v>
      </c>
      <c r="I1077" s="129">
        <f>SUM(I1078:I1079)</f>
        <v>5829.2</v>
      </c>
      <c r="J1077" s="129">
        <f t="shared" ref="J1077:L1077" si="373">SUM(J1078:J1079)</f>
        <v>5360.1</v>
      </c>
      <c r="K1077" s="129">
        <f t="shared" si="373"/>
        <v>4964.8</v>
      </c>
      <c r="L1077" s="139">
        <f t="shared" si="373"/>
        <v>215</v>
      </c>
      <c r="M1077" s="138" t="s">
        <v>934</v>
      </c>
      <c r="N1077" s="138" t="s">
        <v>934</v>
      </c>
      <c r="O1077" s="136" t="s">
        <v>934</v>
      </c>
      <c r="P1077" s="130">
        <v>12591900</v>
      </c>
      <c r="Q1077" s="130">
        <f t="shared" ref="Q1077:S1077" si="374">Q1078+Q1079</f>
        <v>0</v>
      </c>
      <c r="R1077" s="130">
        <f t="shared" si="374"/>
        <v>0</v>
      </c>
      <c r="S1077" s="130">
        <f t="shared" si="374"/>
        <v>12591900</v>
      </c>
      <c r="T1077" s="130">
        <f t="shared" si="346"/>
        <v>2160.1420435051123</v>
      </c>
      <c r="U1077" s="130">
        <f>MAX(U1078:U1079)</f>
        <v>6636.6009451108685</v>
      </c>
    </row>
    <row r="1078" spans="1:184" s="20" customFormat="1" ht="36" customHeight="1" x14ac:dyDescent="0.9">
      <c r="A1078" s="64">
        <v>1</v>
      </c>
      <c r="B1078" s="96">
        <f>SUBTOTAL(103,$A$923:A1078)</f>
        <v>141</v>
      </c>
      <c r="C1078" s="128" t="s">
        <v>239</v>
      </c>
      <c r="D1078" s="138">
        <v>1954</v>
      </c>
      <c r="E1078" s="138"/>
      <c r="F1078" s="169" t="s">
        <v>344</v>
      </c>
      <c r="G1078" s="138">
        <v>2</v>
      </c>
      <c r="H1078" s="138">
        <v>2</v>
      </c>
      <c r="I1078" s="129">
        <v>825.3</v>
      </c>
      <c r="J1078" s="129">
        <v>722</v>
      </c>
      <c r="K1078" s="129">
        <v>638.6</v>
      </c>
      <c r="L1078" s="140">
        <v>34</v>
      </c>
      <c r="M1078" s="138" t="s">
        <v>271</v>
      </c>
      <c r="N1078" s="138" t="s">
        <v>275</v>
      </c>
      <c r="O1078" s="138" t="s">
        <v>343</v>
      </c>
      <c r="P1078" s="129">
        <v>4620600</v>
      </c>
      <c r="Q1078" s="129">
        <v>0</v>
      </c>
      <c r="R1078" s="129">
        <v>0</v>
      </c>
      <c r="S1078" s="129">
        <f t="shared" ref="S1078:S1079" si="375">P1078-Q1078-R1078</f>
        <v>4620600</v>
      </c>
      <c r="T1078" s="130">
        <f t="shared" si="346"/>
        <v>5598.6913849509274</v>
      </c>
      <c r="U1078" s="130">
        <v>6636.6009451108685</v>
      </c>
      <c r="DJ1078" s="131"/>
      <c r="DK1078" s="131"/>
      <c r="DL1078" s="131"/>
      <c r="DZ1078" s="132"/>
      <c r="EI1078" s="133"/>
      <c r="FL1078" s="134"/>
      <c r="GB1078" s="135"/>
    </row>
    <row r="1079" spans="1:184" s="20" customFormat="1" ht="36" customHeight="1" x14ac:dyDescent="0.9">
      <c r="A1079" s="64">
        <v>1</v>
      </c>
      <c r="B1079" s="96">
        <f>SUBTOTAL(103,$A$923:A1079)</f>
        <v>142</v>
      </c>
      <c r="C1079" s="128" t="s">
        <v>243</v>
      </c>
      <c r="D1079" s="138">
        <v>1970</v>
      </c>
      <c r="E1079" s="138"/>
      <c r="F1079" s="169" t="s">
        <v>273</v>
      </c>
      <c r="G1079" s="138">
        <v>5</v>
      </c>
      <c r="H1079" s="138">
        <v>6</v>
      </c>
      <c r="I1079" s="129">
        <v>5003.8999999999996</v>
      </c>
      <c r="J1079" s="129">
        <v>4638.1000000000004</v>
      </c>
      <c r="K1079" s="129">
        <v>4326.2</v>
      </c>
      <c r="L1079" s="140">
        <v>181</v>
      </c>
      <c r="M1079" s="138" t="s">
        <v>271</v>
      </c>
      <c r="N1079" s="138" t="s">
        <v>275</v>
      </c>
      <c r="O1079" s="138" t="s">
        <v>341</v>
      </c>
      <c r="P1079" s="129">
        <v>7971300</v>
      </c>
      <c r="Q1079" s="129">
        <v>0</v>
      </c>
      <c r="R1079" s="129">
        <v>0</v>
      </c>
      <c r="S1079" s="129">
        <f t="shared" si="375"/>
        <v>7971300</v>
      </c>
      <c r="T1079" s="130">
        <f t="shared" si="346"/>
        <v>1593.0174463918145</v>
      </c>
      <c r="U1079" s="130">
        <v>1888.3378924438939</v>
      </c>
      <c r="DJ1079" s="131"/>
      <c r="DK1079" s="131"/>
      <c r="DL1079" s="131"/>
      <c r="DZ1079" s="132"/>
      <c r="EI1079" s="133"/>
      <c r="FL1079" s="134"/>
      <c r="GB1079" s="135"/>
    </row>
    <row r="1080" spans="1:184" s="64" customFormat="1" ht="36" customHeight="1" x14ac:dyDescent="0.9">
      <c r="B1080" s="94" t="s">
        <v>868</v>
      </c>
      <c r="C1080" s="94"/>
      <c r="D1080" s="138" t="s">
        <v>934</v>
      </c>
      <c r="E1080" s="138" t="s">
        <v>934</v>
      </c>
      <c r="F1080" s="138" t="s">
        <v>934</v>
      </c>
      <c r="G1080" s="138" t="s">
        <v>934</v>
      </c>
      <c r="H1080" s="138" t="s">
        <v>934</v>
      </c>
      <c r="I1080" s="129">
        <f>I1081</f>
        <v>396.2</v>
      </c>
      <c r="J1080" s="129">
        <f t="shared" ref="J1080:L1080" si="376">J1081</f>
        <v>372.4</v>
      </c>
      <c r="K1080" s="129">
        <f t="shared" si="376"/>
        <v>187.9</v>
      </c>
      <c r="L1080" s="139">
        <f t="shared" si="376"/>
        <v>21</v>
      </c>
      <c r="M1080" s="138" t="s">
        <v>934</v>
      </c>
      <c r="N1080" s="138" t="s">
        <v>934</v>
      </c>
      <c r="O1080" s="136" t="s">
        <v>934</v>
      </c>
      <c r="P1080" s="130">
        <v>1724820</v>
      </c>
      <c r="Q1080" s="130">
        <f t="shared" ref="Q1080:S1080" si="377">Q1081</f>
        <v>0</v>
      </c>
      <c r="R1080" s="130">
        <f t="shared" si="377"/>
        <v>0</v>
      </c>
      <c r="S1080" s="130">
        <f t="shared" si="377"/>
        <v>1724820</v>
      </c>
      <c r="T1080" s="130">
        <f t="shared" si="346"/>
        <v>4353.4073700151439</v>
      </c>
      <c r="U1080" s="130">
        <f>U1081</f>
        <v>5160.4608076728928</v>
      </c>
    </row>
    <row r="1081" spans="1:184" s="20" customFormat="1" ht="36" customHeight="1" x14ac:dyDescent="0.9">
      <c r="A1081" s="64">
        <v>1</v>
      </c>
      <c r="B1081" s="96">
        <f>SUBTOTAL(103,$A$923:A1081)</f>
        <v>143</v>
      </c>
      <c r="C1081" s="128" t="s">
        <v>248</v>
      </c>
      <c r="D1081" s="138">
        <v>1977</v>
      </c>
      <c r="E1081" s="138"/>
      <c r="F1081" s="169" t="s">
        <v>273</v>
      </c>
      <c r="G1081" s="138">
        <v>2</v>
      </c>
      <c r="H1081" s="138">
        <v>1</v>
      </c>
      <c r="I1081" s="129">
        <v>396.2</v>
      </c>
      <c r="J1081" s="129">
        <v>372.4</v>
      </c>
      <c r="K1081" s="129">
        <v>187.9</v>
      </c>
      <c r="L1081" s="140">
        <v>21</v>
      </c>
      <c r="M1081" s="138" t="s">
        <v>271</v>
      </c>
      <c r="N1081" s="138" t="s">
        <v>272</v>
      </c>
      <c r="O1081" s="138" t="s">
        <v>274</v>
      </c>
      <c r="P1081" s="129">
        <v>1724820</v>
      </c>
      <c r="Q1081" s="129">
        <v>0</v>
      </c>
      <c r="R1081" s="129">
        <v>0</v>
      </c>
      <c r="S1081" s="129">
        <f>P1081-Q1081-R1081</f>
        <v>1724820</v>
      </c>
      <c r="T1081" s="130">
        <f t="shared" si="346"/>
        <v>4353.4073700151439</v>
      </c>
      <c r="U1081" s="130">
        <v>5160.4608076728928</v>
      </c>
      <c r="DJ1081" s="131"/>
      <c r="DK1081" s="131"/>
      <c r="DL1081" s="131"/>
      <c r="DZ1081" s="132"/>
      <c r="EI1081" s="133"/>
      <c r="FL1081" s="134"/>
      <c r="GB1081" s="135"/>
    </row>
    <row r="1082" spans="1:184" s="64" customFormat="1" ht="36" customHeight="1" x14ac:dyDescent="0.9">
      <c r="B1082" s="94" t="s">
        <v>869</v>
      </c>
      <c r="C1082" s="94"/>
      <c r="D1082" s="138" t="s">
        <v>934</v>
      </c>
      <c r="E1082" s="138" t="s">
        <v>934</v>
      </c>
      <c r="F1082" s="138" t="s">
        <v>934</v>
      </c>
      <c r="G1082" s="138" t="s">
        <v>934</v>
      </c>
      <c r="H1082" s="138" t="s">
        <v>934</v>
      </c>
      <c r="I1082" s="129">
        <f>I1083</f>
        <v>1011.8</v>
      </c>
      <c r="J1082" s="129">
        <f t="shared" ref="J1082:L1082" si="378">J1083</f>
        <v>928.8</v>
      </c>
      <c r="K1082" s="129">
        <f t="shared" si="378"/>
        <v>827.3</v>
      </c>
      <c r="L1082" s="139">
        <f t="shared" si="378"/>
        <v>26</v>
      </c>
      <c r="M1082" s="138" t="s">
        <v>934</v>
      </c>
      <c r="N1082" s="138" t="s">
        <v>934</v>
      </c>
      <c r="O1082" s="136" t="s">
        <v>934</v>
      </c>
      <c r="P1082" s="130">
        <v>1739107.3499999999</v>
      </c>
      <c r="Q1082" s="130">
        <f t="shared" ref="Q1082:S1082" si="379">Q1083</f>
        <v>0</v>
      </c>
      <c r="R1082" s="130">
        <f t="shared" si="379"/>
        <v>0</v>
      </c>
      <c r="S1082" s="130">
        <f t="shared" si="379"/>
        <v>1739107.3499999999</v>
      </c>
      <c r="T1082" s="130">
        <f t="shared" si="346"/>
        <v>1718.8252124925873</v>
      </c>
      <c r="U1082" s="130">
        <f>U1083</f>
        <v>4040.1925113658831</v>
      </c>
    </row>
    <row r="1083" spans="1:184" s="20" customFormat="1" ht="36" customHeight="1" x14ac:dyDescent="0.9">
      <c r="A1083" s="64">
        <v>1</v>
      </c>
      <c r="B1083" s="96">
        <f>SUBTOTAL(103,$A$923:A1083)</f>
        <v>144</v>
      </c>
      <c r="C1083" s="128" t="s">
        <v>250</v>
      </c>
      <c r="D1083" s="138">
        <v>1979</v>
      </c>
      <c r="E1083" s="138"/>
      <c r="F1083" s="169" t="s">
        <v>319</v>
      </c>
      <c r="G1083" s="138">
        <v>3</v>
      </c>
      <c r="H1083" s="138">
        <v>2</v>
      </c>
      <c r="I1083" s="129">
        <v>1011.8</v>
      </c>
      <c r="J1083" s="129">
        <v>928.8</v>
      </c>
      <c r="K1083" s="129">
        <v>827.3</v>
      </c>
      <c r="L1083" s="140">
        <v>26</v>
      </c>
      <c r="M1083" s="138" t="s">
        <v>271</v>
      </c>
      <c r="N1083" s="138" t="s">
        <v>272</v>
      </c>
      <c r="O1083" s="138" t="s">
        <v>274</v>
      </c>
      <c r="P1083" s="129">
        <v>1739107.3499999999</v>
      </c>
      <c r="Q1083" s="129">
        <v>0</v>
      </c>
      <c r="R1083" s="129">
        <v>0</v>
      </c>
      <c r="S1083" s="129">
        <f>P1083-Q1083-R1083</f>
        <v>1739107.3499999999</v>
      </c>
      <c r="T1083" s="130">
        <f t="shared" si="346"/>
        <v>1718.8252124925873</v>
      </c>
      <c r="U1083" s="130">
        <v>4040.1925113658831</v>
      </c>
      <c r="DJ1083" s="131"/>
      <c r="DK1083" s="131"/>
      <c r="DL1083" s="131"/>
      <c r="DZ1083" s="132"/>
      <c r="EI1083" s="133"/>
      <c r="FL1083" s="134"/>
      <c r="GB1083" s="135"/>
    </row>
    <row r="1084" spans="1:184" s="64" customFormat="1" ht="36" customHeight="1" x14ac:dyDescent="0.9">
      <c r="B1084" s="94" t="s">
        <v>929</v>
      </c>
      <c r="C1084" s="127"/>
      <c r="D1084" s="138" t="s">
        <v>934</v>
      </c>
      <c r="E1084" s="138" t="s">
        <v>934</v>
      </c>
      <c r="F1084" s="138" t="s">
        <v>934</v>
      </c>
      <c r="G1084" s="138" t="s">
        <v>934</v>
      </c>
      <c r="H1084" s="138" t="s">
        <v>934</v>
      </c>
      <c r="I1084" s="129">
        <f>I1085</f>
        <v>594.20000000000005</v>
      </c>
      <c r="J1084" s="129">
        <f t="shared" ref="J1084:L1084" si="380">J1085</f>
        <v>550.6</v>
      </c>
      <c r="K1084" s="129">
        <f t="shared" si="380"/>
        <v>550.6</v>
      </c>
      <c r="L1084" s="139">
        <f t="shared" si="380"/>
        <v>23</v>
      </c>
      <c r="M1084" s="138" t="s">
        <v>934</v>
      </c>
      <c r="N1084" s="138" t="s">
        <v>934</v>
      </c>
      <c r="O1084" s="136" t="s">
        <v>934</v>
      </c>
      <c r="P1084" s="130">
        <v>3373804.98</v>
      </c>
      <c r="Q1084" s="130">
        <f t="shared" ref="Q1084:S1084" si="381">Q1085</f>
        <v>0</v>
      </c>
      <c r="R1084" s="130">
        <f t="shared" si="381"/>
        <v>0</v>
      </c>
      <c r="S1084" s="130">
        <f t="shared" si="381"/>
        <v>3373804.98</v>
      </c>
      <c r="T1084" s="130">
        <f t="shared" si="346"/>
        <v>5677.8946146078761</v>
      </c>
      <c r="U1084" s="130">
        <f>U1085</f>
        <v>6573.4966442275327</v>
      </c>
    </row>
    <row r="1085" spans="1:184" s="20" customFormat="1" ht="36" customHeight="1" x14ac:dyDescent="0.9">
      <c r="A1085" s="64">
        <v>1</v>
      </c>
      <c r="B1085" s="96">
        <f>SUBTOTAL(103,$A$923:A1085)</f>
        <v>145</v>
      </c>
      <c r="C1085" s="128" t="s">
        <v>4</v>
      </c>
      <c r="D1085" s="138">
        <v>1977</v>
      </c>
      <c r="E1085" s="138"/>
      <c r="F1085" s="169" t="s">
        <v>273</v>
      </c>
      <c r="G1085" s="138">
        <v>2</v>
      </c>
      <c r="H1085" s="138">
        <v>2</v>
      </c>
      <c r="I1085" s="129">
        <v>594.20000000000005</v>
      </c>
      <c r="J1085" s="129">
        <v>550.6</v>
      </c>
      <c r="K1085" s="129">
        <v>550.6</v>
      </c>
      <c r="L1085" s="140">
        <v>23</v>
      </c>
      <c r="M1085" s="138" t="s">
        <v>271</v>
      </c>
      <c r="N1085" s="138" t="s">
        <v>272</v>
      </c>
      <c r="O1085" s="138" t="s">
        <v>274</v>
      </c>
      <c r="P1085" s="129">
        <v>3373804.98</v>
      </c>
      <c r="Q1085" s="129">
        <v>0</v>
      </c>
      <c r="R1085" s="129">
        <v>0</v>
      </c>
      <c r="S1085" s="129">
        <f>P1085-Q1085-R1085</f>
        <v>3373804.98</v>
      </c>
      <c r="T1085" s="130">
        <f t="shared" si="346"/>
        <v>5677.8946146078761</v>
      </c>
      <c r="U1085" s="130">
        <v>6573.4966442275327</v>
      </c>
      <c r="DJ1085" s="131"/>
      <c r="DK1085" s="131"/>
      <c r="DL1085" s="131"/>
      <c r="DZ1085" s="132"/>
      <c r="EI1085" s="133"/>
      <c r="FL1085" s="134"/>
      <c r="GB1085" s="135"/>
    </row>
    <row r="1086" spans="1:184" s="64" customFormat="1" ht="36" customHeight="1" x14ac:dyDescent="0.9">
      <c r="B1086" s="94" t="s">
        <v>930</v>
      </c>
      <c r="C1086" s="97"/>
      <c r="D1086" s="138" t="s">
        <v>934</v>
      </c>
      <c r="E1086" s="138" t="s">
        <v>934</v>
      </c>
      <c r="F1086" s="138" t="s">
        <v>934</v>
      </c>
      <c r="G1086" s="138" t="s">
        <v>934</v>
      </c>
      <c r="H1086" s="138" t="s">
        <v>934</v>
      </c>
      <c r="I1086" s="129">
        <f>I1087</f>
        <v>833.6</v>
      </c>
      <c r="J1086" s="129">
        <f t="shared" ref="J1086:L1086" si="382">J1087</f>
        <v>701</v>
      </c>
      <c r="K1086" s="129">
        <f t="shared" si="382"/>
        <v>683.1</v>
      </c>
      <c r="L1086" s="139">
        <f t="shared" si="382"/>
        <v>32</v>
      </c>
      <c r="M1086" s="138" t="s">
        <v>934</v>
      </c>
      <c r="N1086" s="138" t="s">
        <v>934</v>
      </c>
      <c r="O1086" s="136" t="s">
        <v>934</v>
      </c>
      <c r="P1086" s="130">
        <v>3916350</v>
      </c>
      <c r="Q1086" s="130">
        <f t="shared" ref="Q1086:S1086" si="383">Q1087</f>
        <v>0</v>
      </c>
      <c r="R1086" s="130">
        <f t="shared" si="383"/>
        <v>0</v>
      </c>
      <c r="S1086" s="130">
        <f t="shared" si="383"/>
        <v>3916350</v>
      </c>
      <c r="T1086" s="130">
        <f t="shared" si="346"/>
        <v>4698.1166026871397</v>
      </c>
      <c r="U1086" s="130">
        <f>U1087</f>
        <v>5439.1734644913622</v>
      </c>
    </row>
    <row r="1087" spans="1:184" s="20" customFormat="1" ht="36" customHeight="1" x14ac:dyDescent="0.9">
      <c r="A1087" s="64">
        <v>1</v>
      </c>
      <c r="B1087" s="96">
        <f>SUBTOTAL(103,$A$923:A1087)</f>
        <v>146</v>
      </c>
      <c r="C1087" s="128" t="s">
        <v>3</v>
      </c>
      <c r="D1087" s="138">
        <v>1988</v>
      </c>
      <c r="E1087" s="138"/>
      <c r="F1087" s="169" t="s">
        <v>273</v>
      </c>
      <c r="G1087" s="138">
        <v>2</v>
      </c>
      <c r="H1087" s="138">
        <v>3</v>
      </c>
      <c r="I1087" s="129">
        <v>833.6</v>
      </c>
      <c r="J1087" s="129">
        <v>701</v>
      </c>
      <c r="K1087" s="129">
        <v>683.1</v>
      </c>
      <c r="L1087" s="140">
        <v>32</v>
      </c>
      <c r="M1087" s="138" t="s">
        <v>271</v>
      </c>
      <c r="N1087" s="138" t="s">
        <v>272</v>
      </c>
      <c r="O1087" s="138" t="s">
        <v>274</v>
      </c>
      <c r="P1087" s="129">
        <v>3916350</v>
      </c>
      <c r="Q1087" s="129">
        <v>0</v>
      </c>
      <c r="R1087" s="129">
        <v>0</v>
      </c>
      <c r="S1087" s="129">
        <f>P1087-Q1087-R1087</f>
        <v>3916350</v>
      </c>
      <c r="T1087" s="130">
        <f t="shared" si="346"/>
        <v>4698.1166026871397</v>
      </c>
      <c r="U1087" s="130">
        <v>5439.1734644913622</v>
      </c>
      <c r="DJ1087" s="131"/>
      <c r="DK1087" s="131"/>
      <c r="DL1087" s="131"/>
      <c r="DZ1087" s="132"/>
      <c r="EI1087" s="133"/>
      <c r="FL1087" s="134"/>
      <c r="GB1087" s="135"/>
    </row>
    <row r="1088" spans="1:184" s="64" customFormat="1" ht="36" customHeight="1" x14ac:dyDescent="0.9">
      <c r="B1088" s="94" t="s">
        <v>871</v>
      </c>
      <c r="C1088" s="126"/>
      <c r="D1088" s="138" t="s">
        <v>934</v>
      </c>
      <c r="E1088" s="138" t="s">
        <v>934</v>
      </c>
      <c r="F1088" s="138" t="s">
        <v>934</v>
      </c>
      <c r="G1088" s="138" t="s">
        <v>934</v>
      </c>
      <c r="H1088" s="138" t="s">
        <v>934</v>
      </c>
      <c r="I1088" s="129">
        <f>SUM(I1089:I1090)</f>
        <v>2184</v>
      </c>
      <c r="J1088" s="129">
        <f t="shared" ref="J1088:L1088" si="384">SUM(J1089:J1090)</f>
        <v>1641.1</v>
      </c>
      <c r="K1088" s="129">
        <f t="shared" si="384"/>
        <v>1606.7</v>
      </c>
      <c r="L1088" s="139">
        <f t="shared" si="384"/>
        <v>57</v>
      </c>
      <c r="M1088" s="138" t="s">
        <v>934</v>
      </c>
      <c r="N1088" s="138" t="s">
        <v>934</v>
      </c>
      <c r="O1088" s="136" t="s">
        <v>934</v>
      </c>
      <c r="P1088" s="130">
        <v>3516578.96</v>
      </c>
      <c r="Q1088" s="130">
        <f t="shared" ref="Q1088:S1088" si="385">Q1089+Q1090</f>
        <v>0</v>
      </c>
      <c r="R1088" s="130">
        <f t="shared" si="385"/>
        <v>0</v>
      </c>
      <c r="S1088" s="130">
        <f t="shared" si="385"/>
        <v>3516578.96</v>
      </c>
      <c r="T1088" s="130">
        <f t="shared" si="346"/>
        <v>1610.1552014652013</v>
      </c>
      <c r="U1088" s="130">
        <f>MAX(U1089:U1090)</f>
        <v>4083.311186880987</v>
      </c>
    </row>
    <row r="1089" spans="1:184" s="20" customFormat="1" ht="36" customHeight="1" x14ac:dyDescent="0.9">
      <c r="A1089" s="64">
        <v>1</v>
      </c>
      <c r="B1089" s="96">
        <f>SUBTOTAL(103,$A$923:A1089)</f>
        <v>147</v>
      </c>
      <c r="C1089" s="128" t="s">
        <v>737</v>
      </c>
      <c r="D1089" s="138">
        <v>1962</v>
      </c>
      <c r="E1089" s="138"/>
      <c r="F1089" s="169" t="s">
        <v>273</v>
      </c>
      <c r="G1089" s="138">
        <v>5</v>
      </c>
      <c r="H1089" s="138">
        <v>2</v>
      </c>
      <c r="I1089" s="129">
        <v>1568.1</v>
      </c>
      <c r="J1089" s="129">
        <v>1273.0999999999999</v>
      </c>
      <c r="K1089" s="129">
        <v>1238.7</v>
      </c>
      <c r="L1089" s="140">
        <v>45</v>
      </c>
      <c r="M1089" s="138" t="s">
        <v>271</v>
      </c>
      <c r="N1089" s="138" t="s">
        <v>275</v>
      </c>
      <c r="O1089" s="138" t="s">
        <v>770</v>
      </c>
      <c r="P1089" s="129">
        <v>1913529.37</v>
      </c>
      <c r="Q1089" s="129">
        <v>0</v>
      </c>
      <c r="R1089" s="129">
        <v>0</v>
      </c>
      <c r="S1089" s="129">
        <f t="shared" ref="S1089:S1090" si="386">P1089-Q1089-R1089</f>
        <v>1913529.37</v>
      </c>
      <c r="T1089" s="130">
        <f t="shared" si="346"/>
        <v>1220.2852943052103</v>
      </c>
      <c r="U1089" s="130">
        <v>1696.32191824501</v>
      </c>
      <c r="DJ1089" s="131"/>
      <c r="DK1089" s="131"/>
      <c r="DL1089" s="131"/>
      <c r="DZ1089" s="132"/>
      <c r="EI1089" s="133"/>
      <c r="FL1089" s="134"/>
      <c r="GB1089" s="135"/>
    </row>
    <row r="1090" spans="1:184" s="20" customFormat="1" ht="36" customHeight="1" x14ac:dyDescent="0.9">
      <c r="A1090" s="64">
        <v>1</v>
      </c>
      <c r="B1090" s="96">
        <f>SUBTOTAL(103,$A$923:A1090)</f>
        <v>148</v>
      </c>
      <c r="C1090" s="128" t="s">
        <v>735</v>
      </c>
      <c r="D1090" s="138">
        <v>1988</v>
      </c>
      <c r="E1090" s="138" t="s">
        <v>772</v>
      </c>
      <c r="F1090" s="169" t="s">
        <v>273</v>
      </c>
      <c r="G1090" s="138">
        <v>2</v>
      </c>
      <c r="H1090" s="138">
        <v>1</v>
      </c>
      <c r="I1090" s="129">
        <v>615.9</v>
      </c>
      <c r="J1090" s="129">
        <v>368</v>
      </c>
      <c r="K1090" s="129">
        <v>368</v>
      </c>
      <c r="L1090" s="140">
        <v>12</v>
      </c>
      <c r="M1090" s="138" t="s">
        <v>271</v>
      </c>
      <c r="N1090" s="138" t="s">
        <v>275</v>
      </c>
      <c r="O1090" s="138" t="s">
        <v>770</v>
      </c>
      <c r="P1090" s="129">
        <v>1603049.59</v>
      </c>
      <c r="Q1090" s="129">
        <v>0</v>
      </c>
      <c r="R1090" s="129">
        <v>0</v>
      </c>
      <c r="S1090" s="129">
        <f t="shared" si="386"/>
        <v>1603049.59</v>
      </c>
      <c r="T1090" s="130">
        <f t="shared" si="346"/>
        <v>2602.7757590517945</v>
      </c>
      <c r="U1090" s="130">
        <v>4083.311186880987</v>
      </c>
      <c r="DJ1090" s="131"/>
      <c r="DK1090" s="131"/>
      <c r="DL1090" s="131"/>
      <c r="DZ1090" s="132"/>
      <c r="EI1090" s="133"/>
      <c r="FL1090" s="134"/>
      <c r="GB1090" s="135"/>
    </row>
    <row r="1091" spans="1:184" s="64" customFormat="1" ht="36" customHeight="1" x14ac:dyDescent="0.9">
      <c r="B1091" s="94" t="s">
        <v>913</v>
      </c>
      <c r="C1091" s="94"/>
      <c r="D1091" s="138" t="s">
        <v>934</v>
      </c>
      <c r="E1091" s="138" t="s">
        <v>934</v>
      </c>
      <c r="F1091" s="138" t="s">
        <v>934</v>
      </c>
      <c r="G1091" s="138" t="s">
        <v>934</v>
      </c>
      <c r="H1091" s="138" t="s">
        <v>934</v>
      </c>
      <c r="I1091" s="129">
        <f>I1092</f>
        <v>1069.5</v>
      </c>
      <c r="J1091" s="129">
        <f t="shared" ref="J1091:L1091" si="387">J1092</f>
        <v>1035.2</v>
      </c>
      <c r="K1091" s="129">
        <f t="shared" si="387"/>
        <v>1035.2</v>
      </c>
      <c r="L1091" s="139">
        <f t="shared" si="387"/>
        <v>39</v>
      </c>
      <c r="M1091" s="138" t="s">
        <v>934</v>
      </c>
      <c r="N1091" s="138" t="s">
        <v>934</v>
      </c>
      <c r="O1091" s="136" t="s">
        <v>934</v>
      </c>
      <c r="P1091" s="130">
        <v>3598749.4899999998</v>
      </c>
      <c r="Q1091" s="130">
        <f t="shared" ref="Q1091:S1091" si="388">Q1092</f>
        <v>0</v>
      </c>
      <c r="R1091" s="130">
        <f t="shared" si="388"/>
        <v>0</v>
      </c>
      <c r="S1091" s="130">
        <f t="shared" si="388"/>
        <v>3598749.4899999998</v>
      </c>
      <c r="T1091" s="130">
        <f t="shared" si="346"/>
        <v>3364.8896587190275</v>
      </c>
      <c r="U1091" s="130">
        <f>U1092</f>
        <v>5515.8110032725572</v>
      </c>
    </row>
    <row r="1092" spans="1:184" s="20" customFormat="1" ht="36" customHeight="1" x14ac:dyDescent="0.9">
      <c r="A1092" s="64">
        <v>1</v>
      </c>
      <c r="B1092" s="96">
        <f>SUBTOTAL(103,$A$923:A1092)</f>
        <v>149</v>
      </c>
      <c r="C1092" s="128" t="s">
        <v>743</v>
      </c>
      <c r="D1092" s="138">
        <v>1995</v>
      </c>
      <c r="E1092" s="138"/>
      <c r="F1092" s="169" t="s">
        <v>273</v>
      </c>
      <c r="G1092" s="138">
        <v>2</v>
      </c>
      <c r="H1092" s="138">
        <v>2</v>
      </c>
      <c r="I1092" s="129">
        <v>1069.5</v>
      </c>
      <c r="J1092" s="129">
        <v>1035.2</v>
      </c>
      <c r="K1092" s="129">
        <v>1035.2</v>
      </c>
      <c r="L1092" s="140">
        <v>39</v>
      </c>
      <c r="M1092" s="138" t="s">
        <v>271</v>
      </c>
      <c r="N1092" s="138" t="s">
        <v>272</v>
      </c>
      <c r="O1092" s="138" t="s">
        <v>274</v>
      </c>
      <c r="P1092" s="129">
        <v>3598749.4899999998</v>
      </c>
      <c r="Q1092" s="129">
        <v>0</v>
      </c>
      <c r="R1092" s="129">
        <v>0</v>
      </c>
      <c r="S1092" s="129">
        <f>P1092-Q1092-R1092</f>
        <v>3598749.4899999998</v>
      </c>
      <c r="T1092" s="130">
        <f t="shared" si="346"/>
        <v>3364.8896587190275</v>
      </c>
      <c r="U1092" s="130">
        <v>5515.8110032725572</v>
      </c>
      <c r="DJ1092" s="131"/>
      <c r="DK1092" s="131"/>
      <c r="DL1092" s="131"/>
      <c r="DZ1092" s="132"/>
      <c r="EI1092" s="133"/>
      <c r="FL1092" s="134"/>
      <c r="GB1092" s="135"/>
    </row>
    <row r="1093" spans="1:184" s="64" customFormat="1" ht="36" customHeight="1" x14ac:dyDescent="0.9">
      <c r="B1093" s="94" t="s">
        <v>873</v>
      </c>
      <c r="C1093" s="94"/>
      <c r="D1093" s="138" t="s">
        <v>934</v>
      </c>
      <c r="E1093" s="138" t="s">
        <v>934</v>
      </c>
      <c r="F1093" s="138" t="s">
        <v>934</v>
      </c>
      <c r="G1093" s="138" t="s">
        <v>934</v>
      </c>
      <c r="H1093" s="138" t="s">
        <v>934</v>
      </c>
      <c r="I1093" s="129">
        <f>I1094</f>
        <v>630</v>
      </c>
      <c r="J1093" s="129">
        <f t="shared" ref="J1093:L1093" si="389">J1094</f>
        <v>576.1</v>
      </c>
      <c r="K1093" s="129">
        <f t="shared" si="389"/>
        <v>576.1</v>
      </c>
      <c r="L1093" s="139">
        <f t="shared" si="389"/>
        <v>32</v>
      </c>
      <c r="M1093" s="138" t="s">
        <v>934</v>
      </c>
      <c r="N1093" s="138" t="s">
        <v>934</v>
      </c>
      <c r="O1093" s="136" t="s">
        <v>934</v>
      </c>
      <c r="P1093" s="130">
        <v>3488946.79</v>
      </c>
      <c r="Q1093" s="130">
        <f t="shared" ref="Q1093:S1093" si="390">Q1094</f>
        <v>0</v>
      </c>
      <c r="R1093" s="130">
        <f t="shared" si="390"/>
        <v>0</v>
      </c>
      <c r="S1093" s="130">
        <f t="shared" si="390"/>
        <v>3488946.79</v>
      </c>
      <c r="T1093" s="130">
        <f t="shared" si="346"/>
        <v>5538.0107777777775</v>
      </c>
      <c r="U1093" s="130">
        <f>U1094</f>
        <v>9068.19</v>
      </c>
    </row>
    <row r="1094" spans="1:184" s="20" customFormat="1" ht="36" customHeight="1" x14ac:dyDescent="0.9">
      <c r="A1094" s="64">
        <v>1</v>
      </c>
      <c r="B1094" s="96">
        <f>SUBTOTAL(103,$A$923:A1094)</f>
        <v>150</v>
      </c>
      <c r="C1094" s="128" t="s">
        <v>741</v>
      </c>
      <c r="D1094" s="138">
        <v>1987</v>
      </c>
      <c r="E1094" s="138"/>
      <c r="F1094" s="169" t="s">
        <v>273</v>
      </c>
      <c r="G1094" s="138">
        <v>2</v>
      </c>
      <c r="H1094" s="138">
        <v>2</v>
      </c>
      <c r="I1094" s="129">
        <v>630</v>
      </c>
      <c r="J1094" s="129">
        <v>576.1</v>
      </c>
      <c r="K1094" s="129">
        <v>576.1</v>
      </c>
      <c r="L1094" s="140">
        <v>32</v>
      </c>
      <c r="M1094" s="138" t="s">
        <v>271</v>
      </c>
      <c r="N1094" s="138" t="s">
        <v>272</v>
      </c>
      <c r="O1094" s="138" t="s">
        <v>274</v>
      </c>
      <c r="P1094" s="129">
        <v>3488946.79</v>
      </c>
      <c r="Q1094" s="129">
        <v>0</v>
      </c>
      <c r="R1094" s="129">
        <v>0</v>
      </c>
      <c r="S1094" s="129">
        <f>P1094-Q1094-R1094</f>
        <v>3488946.79</v>
      </c>
      <c r="T1094" s="130">
        <f t="shared" si="346"/>
        <v>5538.0107777777775</v>
      </c>
      <c r="U1094" s="130">
        <v>9068.19</v>
      </c>
      <c r="DJ1094" s="131"/>
      <c r="DK1094" s="131"/>
      <c r="DL1094" s="131"/>
      <c r="DZ1094" s="132"/>
      <c r="EI1094" s="133"/>
      <c r="FL1094" s="134"/>
      <c r="GB1094" s="135"/>
    </row>
    <row r="1095" spans="1:184" s="64" customFormat="1" ht="36" customHeight="1" x14ac:dyDescent="0.9">
      <c r="B1095" s="94" t="s">
        <v>931</v>
      </c>
      <c r="C1095" s="94"/>
      <c r="D1095" s="138" t="s">
        <v>934</v>
      </c>
      <c r="E1095" s="138" t="s">
        <v>934</v>
      </c>
      <c r="F1095" s="138" t="s">
        <v>934</v>
      </c>
      <c r="G1095" s="138" t="s">
        <v>934</v>
      </c>
      <c r="H1095" s="138" t="s">
        <v>934</v>
      </c>
      <c r="I1095" s="129">
        <f>I1096</f>
        <v>626.5</v>
      </c>
      <c r="J1095" s="129">
        <f t="shared" ref="J1095:L1095" si="391">J1096</f>
        <v>568.5</v>
      </c>
      <c r="K1095" s="129">
        <f t="shared" si="391"/>
        <v>568.5</v>
      </c>
      <c r="L1095" s="139">
        <f t="shared" si="391"/>
        <v>23</v>
      </c>
      <c r="M1095" s="138" t="s">
        <v>934</v>
      </c>
      <c r="N1095" s="138" t="s">
        <v>934</v>
      </c>
      <c r="O1095" s="136" t="s">
        <v>934</v>
      </c>
      <c r="P1095" s="130">
        <v>1538879.17</v>
      </c>
      <c r="Q1095" s="130">
        <f t="shared" ref="Q1095:S1095" si="392">Q1096</f>
        <v>0</v>
      </c>
      <c r="R1095" s="130">
        <f t="shared" si="392"/>
        <v>0</v>
      </c>
      <c r="S1095" s="130">
        <f t="shared" si="392"/>
        <v>1538879.17</v>
      </c>
      <c r="T1095" s="130">
        <f t="shared" si="346"/>
        <v>2456.31152434158</v>
      </c>
      <c r="U1095" s="130">
        <f>U1096</f>
        <v>3840.5316520351157</v>
      </c>
    </row>
    <row r="1096" spans="1:184" s="20" customFormat="1" ht="36" customHeight="1" x14ac:dyDescent="0.9">
      <c r="A1096" s="64">
        <v>1</v>
      </c>
      <c r="B1096" s="96">
        <f>SUBTOTAL(103,$A$923:A1096)</f>
        <v>151</v>
      </c>
      <c r="C1096" s="128" t="s">
        <v>738</v>
      </c>
      <c r="D1096" s="138">
        <v>1978</v>
      </c>
      <c r="E1096" s="138"/>
      <c r="F1096" s="169" t="s">
        <v>273</v>
      </c>
      <c r="G1096" s="138">
        <v>2</v>
      </c>
      <c r="H1096" s="138">
        <v>2</v>
      </c>
      <c r="I1096" s="129">
        <v>626.5</v>
      </c>
      <c r="J1096" s="129">
        <v>568.5</v>
      </c>
      <c r="K1096" s="129">
        <v>568.5</v>
      </c>
      <c r="L1096" s="140">
        <v>23</v>
      </c>
      <c r="M1096" s="138" t="s">
        <v>271</v>
      </c>
      <c r="N1096" s="138" t="s">
        <v>272</v>
      </c>
      <c r="O1096" s="138" t="s">
        <v>274</v>
      </c>
      <c r="P1096" s="129">
        <v>1538879.17</v>
      </c>
      <c r="Q1096" s="129">
        <v>0</v>
      </c>
      <c r="R1096" s="129">
        <v>0</v>
      </c>
      <c r="S1096" s="129">
        <f>P1096-Q1096-R1096</f>
        <v>1538879.17</v>
      </c>
      <c r="T1096" s="130">
        <f t="shared" si="346"/>
        <v>2456.31152434158</v>
      </c>
      <c r="U1096" s="130">
        <v>3840.5316520351157</v>
      </c>
      <c r="DJ1096" s="131"/>
      <c r="DK1096" s="131"/>
      <c r="DL1096" s="131"/>
      <c r="DZ1096" s="132"/>
      <c r="EI1096" s="133"/>
      <c r="FL1096" s="134"/>
      <c r="GB1096" s="135"/>
    </row>
    <row r="1097" spans="1:184" s="64" customFormat="1" ht="36" customHeight="1" x14ac:dyDescent="0.9">
      <c r="B1097" s="94" t="s">
        <v>874</v>
      </c>
      <c r="C1097" s="126"/>
      <c r="D1097" s="138" t="s">
        <v>934</v>
      </c>
      <c r="E1097" s="138" t="s">
        <v>934</v>
      </c>
      <c r="F1097" s="138" t="s">
        <v>934</v>
      </c>
      <c r="G1097" s="138" t="s">
        <v>934</v>
      </c>
      <c r="H1097" s="138" t="s">
        <v>934</v>
      </c>
      <c r="I1097" s="129">
        <f>SUM(I1098:I1103)</f>
        <v>14681.960000000001</v>
      </c>
      <c r="J1097" s="129">
        <f t="shared" ref="J1097:L1097" si="393">SUM(J1098:J1103)</f>
        <v>10898.48</v>
      </c>
      <c r="K1097" s="129">
        <f t="shared" si="393"/>
        <v>10621.810000000001</v>
      </c>
      <c r="L1097" s="139">
        <f t="shared" si="393"/>
        <v>477</v>
      </c>
      <c r="M1097" s="138" t="s">
        <v>934</v>
      </c>
      <c r="N1097" s="138" t="s">
        <v>934</v>
      </c>
      <c r="O1097" s="136" t="s">
        <v>934</v>
      </c>
      <c r="P1097" s="129">
        <v>28415186.599999998</v>
      </c>
      <c r="Q1097" s="129">
        <f t="shared" ref="Q1097:S1097" si="394">SUM(Q1098:Q1103)</f>
        <v>0</v>
      </c>
      <c r="R1097" s="129">
        <f t="shared" si="394"/>
        <v>0</v>
      </c>
      <c r="S1097" s="129">
        <f t="shared" si="394"/>
        <v>28415186.599999998</v>
      </c>
      <c r="T1097" s="130">
        <f t="shared" si="346"/>
        <v>1935.3810117995142</v>
      </c>
      <c r="U1097" s="130">
        <f>MAX(U1098:U1103)</f>
        <v>5398.3163762311942</v>
      </c>
    </row>
    <row r="1098" spans="1:184" s="20" customFormat="1" ht="36" customHeight="1" x14ac:dyDescent="0.9">
      <c r="A1098" s="64">
        <v>1</v>
      </c>
      <c r="B1098" s="96">
        <f>SUBTOTAL(103,$A$923:A1098)</f>
        <v>152</v>
      </c>
      <c r="C1098" s="128" t="s">
        <v>135</v>
      </c>
      <c r="D1098" s="138">
        <v>1994</v>
      </c>
      <c r="E1098" s="138"/>
      <c r="F1098" s="169" t="s">
        <v>273</v>
      </c>
      <c r="G1098" s="138">
        <v>4</v>
      </c>
      <c r="H1098" s="138">
        <v>4</v>
      </c>
      <c r="I1098" s="129">
        <v>3731.88</v>
      </c>
      <c r="J1098" s="129">
        <v>2769.88</v>
      </c>
      <c r="K1098" s="129">
        <v>2769</v>
      </c>
      <c r="L1098" s="140">
        <v>112</v>
      </c>
      <c r="M1098" s="138" t="s">
        <v>271</v>
      </c>
      <c r="N1098" s="138" t="s">
        <v>275</v>
      </c>
      <c r="O1098" s="138" t="s">
        <v>290</v>
      </c>
      <c r="P1098" s="129">
        <v>6533531.75</v>
      </c>
      <c r="Q1098" s="129">
        <v>0</v>
      </c>
      <c r="R1098" s="129">
        <v>0</v>
      </c>
      <c r="S1098" s="129">
        <f t="shared" ref="S1098:S1103" si="395">P1098-Q1098-R1098</f>
        <v>6533531.75</v>
      </c>
      <c r="T1098" s="130">
        <f t="shared" si="346"/>
        <v>1750.7346833231506</v>
      </c>
      <c r="U1098" s="130">
        <v>1903.441562965583</v>
      </c>
      <c r="DJ1098" s="131"/>
      <c r="DK1098" s="131"/>
      <c r="DL1098" s="131"/>
      <c r="DZ1098" s="132"/>
      <c r="EI1098" s="133"/>
      <c r="FL1098" s="134"/>
      <c r="GB1098" s="135"/>
    </row>
    <row r="1099" spans="1:184" s="20" customFormat="1" ht="36" customHeight="1" x14ac:dyDescent="0.9">
      <c r="A1099" s="64">
        <v>1</v>
      </c>
      <c r="B1099" s="96">
        <f>SUBTOTAL(103,$A$923:A1099)</f>
        <v>153</v>
      </c>
      <c r="C1099" s="128" t="s">
        <v>132</v>
      </c>
      <c r="D1099" s="138">
        <v>1992</v>
      </c>
      <c r="E1099" s="138"/>
      <c r="F1099" s="169" t="s">
        <v>273</v>
      </c>
      <c r="G1099" s="138">
        <v>2</v>
      </c>
      <c r="H1099" s="138">
        <v>3</v>
      </c>
      <c r="I1099" s="129">
        <v>1621.8</v>
      </c>
      <c r="J1099" s="129">
        <v>965.3</v>
      </c>
      <c r="K1099" s="129">
        <v>915.9</v>
      </c>
      <c r="L1099" s="140">
        <v>39</v>
      </c>
      <c r="M1099" s="138" t="s">
        <v>271</v>
      </c>
      <c r="N1099" s="138" t="s">
        <v>275</v>
      </c>
      <c r="O1099" s="138" t="s">
        <v>290</v>
      </c>
      <c r="P1099" s="129">
        <v>4210000</v>
      </c>
      <c r="Q1099" s="129">
        <v>0</v>
      </c>
      <c r="R1099" s="129">
        <v>0</v>
      </c>
      <c r="S1099" s="129">
        <f t="shared" si="395"/>
        <v>4210000</v>
      </c>
      <c r="T1099" s="130">
        <f t="shared" si="346"/>
        <v>2595.8811197434948</v>
      </c>
      <c r="U1099" s="130">
        <v>3015.4067085953875</v>
      </c>
      <c r="DJ1099" s="131"/>
      <c r="DK1099" s="131"/>
      <c r="DL1099" s="131"/>
      <c r="DZ1099" s="132"/>
      <c r="EI1099" s="133"/>
      <c r="FL1099" s="134"/>
      <c r="GB1099" s="135"/>
    </row>
    <row r="1100" spans="1:184" s="20" customFormat="1" ht="36" customHeight="1" x14ac:dyDescent="0.9">
      <c r="A1100" s="64">
        <v>1</v>
      </c>
      <c r="B1100" s="96">
        <f>SUBTOTAL(103,$A$923:A1100)</f>
        <v>154</v>
      </c>
      <c r="C1100" s="128" t="s">
        <v>137</v>
      </c>
      <c r="D1100" s="138">
        <v>1986</v>
      </c>
      <c r="E1100" s="138"/>
      <c r="F1100" s="169" t="s">
        <v>273</v>
      </c>
      <c r="G1100" s="138">
        <v>2</v>
      </c>
      <c r="H1100" s="138">
        <v>3</v>
      </c>
      <c r="I1100" s="129">
        <v>923.9</v>
      </c>
      <c r="J1100" s="129">
        <v>841.9</v>
      </c>
      <c r="K1100" s="129">
        <v>646.1</v>
      </c>
      <c r="L1100" s="140">
        <v>47</v>
      </c>
      <c r="M1100" s="138" t="s">
        <v>271</v>
      </c>
      <c r="N1100" s="138" t="s">
        <v>275</v>
      </c>
      <c r="O1100" s="138" t="s">
        <v>290</v>
      </c>
      <c r="P1100" s="129">
        <v>4587373.3600000003</v>
      </c>
      <c r="Q1100" s="129">
        <v>0</v>
      </c>
      <c r="R1100" s="129">
        <v>0</v>
      </c>
      <c r="S1100" s="129">
        <f t="shared" si="395"/>
        <v>4587373.3600000003</v>
      </c>
      <c r="T1100" s="130">
        <f t="shared" si="346"/>
        <v>4965.2271457950001</v>
      </c>
      <c r="U1100" s="130">
        <v>5398.3163762311942</v>
      </c>
      <c r="DJ1100" s="131"/>
      <c r="DK1100" s="131"/>
      <c r="DL1100" s="131"/>
      <c r="DZ1100" s="132"/>
      <c r="EI1100" s="133"/>
      <c r="FL1100" s="134"/>
      <c r="GB1100" s="135"/>
    </row>
    <row r="1101" spans="1:184" s="20" customFormat="1" ht="36" customHeight="1" x14ac:dyDescent="0.9">
      <c r="A1101" s="64">
        <v>1</v>
      </c>
      <c r="B1101" s="96">
        <f>SUBTOTAL(103,$A$923:A1101)</f>
        <v>155</v>
      </c>
      <c r="C1101" s="128" t="s">
        <v>133</v>
      </c>
      <c r="D1101" s="138">
        <v>1972</v>
      </c>
      <c r="E1101" s="138"/>
      <c r="F1101" s="169" t="s">
        <v>273</v>
      </c>
      <c r="G1101" s="138">
        <v>5</v>
      </c>
      <c r="H1101" s="138">
        <v>4</v>
      </c>
      <c r="I1101" s="129">
        <v>3740.78</v>
      </c>
      <c r="J1101" s="129">
        <v>2819.9</v>
      </c>
      <c r="K1101" s="129">
        <v>2819.7</v>
      </c>
      <c r="L1101" s="140">
        <v>124</v>
      </c>
      <c r="M1101" s="138" t="s">
        <v>271</v>
      </c>
      <c r="N1101" s="138" t="s">
        <v>275</v>
      </c>
      <c r="O1101" s="138" t="s">
        <v>291</v>
      </c>
      <c r="P1101" s="129">
        <v>5599375.7199999997</v>
      </c>
      <c r="Q1101" s="129">
        <v>0</v>
      </c>
      <c r="R1101" s="129">
        <v>0</v>
      </c>
      <c r="S1101" s="129">
        <f t="shared" si="395"/>
        <v>5599375.7199999997</v>
      </c>
      <c r="T1101" s="130">
        <f t="shared" si="346"/>
        <v>1496.8471067531368</v>
      </c>
      <c r="U1101" s="130">
        <v>1627.4087810563572</v>
      </c>
      <c r="DJ1101" s="131"/>
      <c r="DK1101" s="131"/>
      <c r="DL1101" s="131"/>
      <c r="DZ1101" s="132"/>
      <c r="EI1101" s="133"/>
      <c r="FL1101" s="134"/>
      <c r="GB1101" s="135"/>
    </row>
    <row r="1102" spans="1:184" s="20" customFormat="1" ht="36" customHeight="1" x14ac:dyDescent="0.9">
      <c r="A1102" s="64">
        <v>1</v>
      </c>
      <c r="B1102" s="96">
        <f>SUBTOTAL(103,$A$923:A1102)</f>
        <v>156</v>
      </c>
      <c r="C1102" s="128" t="s">
        <v>134</v>
      </c>
      <c r="D1102" s="138">
        <v>1979</v>
      </c>
      <c r="E1102" s="138"/>
      <c r="F1102" s="169" t="s">
        <v>273</v>
      </c>
      <c r="G1102" s="138">
        <v>5</v>
      </c>
      <c r="H1102" s="138">
        <v>4</v>
      </c>
      <c r="I1102" s="129">
        <v>4025.6</v>
      </c>
      <c r="J1102" s="129">
        <v>3076</v>
      </c>
      <c r="K1102" s="129">
        <v>3076</v>
      </c>
      <c r="L1102" s="140">
        <v>133</v>
      </c>
      <c r="M1102" s="138" t="s">
        <v>271</v>
      </c>
      <c r="N1102" s="138" t="s">
        <v>275</v>
      </c>
      <c r="O1102" s="138" t="s">
        <v>291</v>
      </c>
      <c r="P1102" s="129">
        <v>4480243.62</v>
      </c>
      <c r="Q1102" s="129">
        <v>0</v>
      </c>
      <c r="R1102" s="129">
        <v>0</v>
      </c>
      <c r="S1102" s="129">
        <f t="shared" si="395"/>
        <v>4480243.62</v>
      </c>
      <c r="T1102" s="130">
        <f t="shared" ref="T1102:T1165" si="396">P1102/I1102</f>
        <v>1112.9381011526232</v>
      </c>
      <c r="U1102" s="130">
        <v>1160.2549672098569</v>
      </c>
      <c r="DJ1102" s="131"/>
      <c r="DK1102" s="131"/>
      <c r="DL1102" s="131"/>
      <c r="DZ1102" s="132"/>
      <c r="EI1102" s="133"/>
      <c r="FL1102" s="134"/>
      <c r="GB1102" s="135"/>
    </row>
    <row r="1103" spans="1:184" s="20" customFormat="1" ht="36" customHeight="1" x14ac:dyDescent="0.9">
      <c r="A1103" s="64">
        <v>1</v>
      </c>
      <c r="B1103" s="96">
        <f>SUBTOTAL(103,$A$923:A1103)</f>
        <v>157</v>
      </c>
      <c r="C1103" s="128" t="s">
        <v>1695</v>
      </c>
      <c r="D1103" s="138">
        <v>1967</v>
      </c>
      <c r="E1103" s="138"/>
      <c r="F1103" s="169" t="s">
        <v>326</v>
      </c>
      <c r="G1103" s="138">
        <v>2</v>
      </c>
      <c r="H1103" s="138">
        <v>2</v>
      </c>
      <c r="I1103" s="129">
        <v>638</v>
      </c>
      <c r="J1103" s="129">
        <v>425.5</v>
      </c>
      <c r="K1103" s="129">
        <f>J1103-30.39</f>
        <v>395.11</v>
      </c>
      <c r="L1103" s="140">
        <v>22</v>
      </c>
      <c r="M1103" s="138" t="s">
        <v>271</v>
      </c>
      <c r="N1103" s="138" t="s">
        <v>275</v>
      </c>
      <c r="O1103" s="138" t="s">
        <v>1681</v>
      </c>
      <c r="P1103" s="129">
        <v>3004662.15</v>
      </c>
      <c r="Q1103" s="129">
        <v>0</v>
      </c>
      <c r="R1103" s="129">
        <v>0</v>
      </c>
      <c r="S1103" s="129">
        <f t="shared" si="395"/>
        <v>3004662.15</v>
      </c>
      <c r="T1103" s="130">
        <f t="shared" si="396"/>
        <v>4709.5018025078371</v>
      </c>
      <c r="U1103" s="130">
        <f>T1103</f>
        <v>4709.5018025078371</v>
      </c>
      <c r="DJ1103" s="166"/>
      <c r="DK1103" s="166"/>
      <c r="DL1103" s="166"/>
      <c r="DZ1103" s="132"/>
      <c r="EI1103" s="133"/>
      <c r="FL1103" s="134"/>
      <c r="GB1103" s="135"/>
    </row>
    <row r="1104" spans="1:184" s="64" customFormat="1" ht="36" customHeight="1" x14ac:dyDescent="0.9">
      <c r="B1104" s="94" t="s">
        <v>880</v>
      </c>
      <c r="C1104" s="126"/>
      <c r="D1104" s="138" t="s">
        <v>934</v>
      </c>
      <c r="E1104" s="138" t="s">
        <v>934</v>
      </c>
      <c r="F1104" s="138" t="s">
        <v>934</v>
      </c>
      <c r="G1104" s="138" t="s">
        <v>934</v>
      </c>
      <c r="H1104" s="138" t="s">
        <v>934</v>
      </c>
      <c r="I1104" s="129">
        <f>SUM(I1105:I1106)</f>
        <v>1573</v>
      </c>
      <c r="J1104" s="129">
        <f t="shared" ref="J1104:L1104" si="397">SUM(J1105:J1106)</f>
        <v>1423.2</v>
      </c>
      <c r="K1104" s="129">
        <f t="shared" si="397"/>
        <v>1423.2</v>
      </c>
      <c r="L1104" s="139">
        <f t="shared" si="397"/>
        <v>68</v>
      </c>
      <c r="M1104" s="138" t="s">
        <v>934</v>
      </c>
      <c r="N1104" s="138" t="s">
        <v>934</v>
      </c>
      <c r="O1104" s="136" t="s">
        <v>934</v>
      </c>
      <c r="P1104" s="130">
        <v>5777967.8699999992</v>
      </c>
      <c r="Q1104" s="130">
        <f t="shared" ref="Q1104:S1104" si="398">Q1105+Q1106</f>
        <v>0</v>
      </c>
      <c r="R1104" s="130">
        <f t="shared" si="398"/>
        <v>0</v>
      </c>
      <c r="S1104" s="130">
        <f t="shared" si="398"/>
        <v>5777967.8699999992</v>
      </c>
      <c r="T1104" s="130">
        <f t="shared" si="396"/>
        <v>3673.2154291163379</v>
      </c>
      <c r="U1104" s="130">
        <f>MAX(U1105:U1106)</f>
        <v>5110.9588838268792</v>
      </c>
    </row>
    <row r="1105" spans="1:184" s="20" customFormat="1" ht="36" customHeight="1" x14ac:dyDescent="0.9">
      <c r="A1105" s="64">
        <v>1</v>
      </c>
      <c r="B1105" s="96">
        <f>SUBTOTAL(103,$A$923:A1105)</f>
        <v>158</v>
      </c>
      <c r="C1105" s="128" t="s">
        <v>182</v>
      </c>
      <c r="D1105" s="138">
        <v>1985</v>
      </c>
      <c r="E1105" s="138">
        <v>2009</v>
      </c>
      <c r="F1105" s="169" t="s">
        <v>273</v>
      </c>
      <c r="G1105" s="138">
        <v>2</v>
      </c>
      <c r="H1105" s="138">
        <v>3</v>
      </c>
      <c r="I1105" s="129">
        <v>958.4</v>
      </c>
      <c r="J1105" s="129">
        <v>858.1</v>
      </c>
      <c r="K1105" s="129">
        <v>858.1</v>
      </c>
      <c r="L1105" s="140">
        <v>48</v>
      </c>
      <c r="M1105" s="138" t="s">
        <v>271</v>
      </c>
      <c r="N1105" s="138" t="s">
        <v>272</v>
      </c>
      <c r="O1105" s="138" t="s">
        <v>274</v>
      </c>
      <c r="P1105" s="129">
        <v>3457143.9</v>
      </c>
      <c r="Q1105" s="129">
        <v>0</v>
      </c>
      <c r="R1105" s="129">
        <v>0</v>
      </c>
      <c r="S1105" s="129">
        <f t="shared" ref="S1105:S1106" si="399">P1105-Q1105-R1105</f>
        <v>3457143.9</v>
      </c>
      <c r="T1105" s="130">
        <f t="shared" si="396"/>
        <v>3607.2035684474122</v>
      </c>
      <c r="U1105" s="130">
        <v>3973.9563856427376</v>
      </c>
      <c r="DJ1105" s="131"/>
      <c r="DK1105" s="131"/>
      <c r="DL1105" s="131"/>
      <c r="DZ1105" s="132"/>
      <c r="EI1105" s="133"/>
      <c r="FL1105" s="134"/>
      <c r="GB1105" s="135"/>
    </row>
    <row r="1106" spans="1:184" s="20" customFormat="1" ht="36" customHeight="1" x14ac:dyDescent="0.9">
      <c r="A1106" s="64">
        <v>1</v>
      </c>
      <c r="B1106" s="96">
        <f>SUBTOTAL(103,$A$923:A1106)</f>
        <v>159</v>
      </c>
      <c r="C1106" s="128" t="s">
        <v>183</v>
      </c>
      <c r="D1106" s="138">
        <v>1961</v>
      </c>
      <c r="E1106" s="138">
        <v>2009</v>
      </c>
      <c r="F1106" s="169" t="s">
        <v>273</v>
      </c>
      <c r="G1106" s="138">
        <v>2</v>
      </c>
      <c r="H1106" s="138">
        <v>2</v>
      </c>
      <c r="I1106" s="129">
        <v>614.6</v>
      </c>
      <c r="J1106" s="129">
        <v>565.1</v>
      </c>
      <c r="K1106" s="129">
        <v>565.1</v>
      </c>
      <c r="L1106" s="140">
        <v>20</v>
      </c>
      <c r="M1106" s="138" t="s">
        <v>271</v>
      </c>
      <c r="N1106" s="138" t="s">
        <v>272</v>
      </c>
      <c r="O1106" s="138" t="s">
        <v>274</v>
      </c>
      <c r="P1106" s="129">
        <v>2320823.9699999997</v>
      </c>
      <c r="Q1106" s="129">
        <v>0</v>
      </c>
      <c r="R1106" s="129">
        <v>0</v>
      </c>
      <c r="S1106" s="129">
        <f t="shared" si="399"/>
        <v>2320823.9699999997</v>
      </c>
      <c r="T1106" s="130">
        <f t="shared" si="396"/>
        <v>3776.153547022453</v>
      </c>
      <c r="U1106" s="130">
        <v>5110.9588838268792</v>
      </c>
      <c r="DJ1106" s="131"/>
      <c r="DK1106" s="131"/>
      <c r="DL1106" s="131"/>
      <c r="DZ1106" s="132"/>
      <c r="EI1106" s="133"/>
      <c r="FL1106" s="134"/>
      <c r="GB1106" s="135"/>
    </row>
    <row r="1107" spans="1:184" s="64" customFormat="1" ht="36" customHeight="1" x14ac:dyDescent="0.9">
      <c r="B1107" s="94" t="s">
        <v>877</v>
      </c>
      <c r="C1107" s="94"/>
      <c r="D1107" s="138" t="s">
        <v>934</v>
      </c>
      <c r="E1107" s="138" t="s">
        <v>934</v>
      </c>
      <c r="F1107" s="138" t="s">
        <v>934</v>
      </c>
      <c r="G1107" s="138" t="s">
        <v>934</v>
      </c>
      <c r="H1107" s="138" t="s">
        <v>934</v>
      </c>
      <c r="I1107" s="129">
        <f>SUM(I1108:I1110)</f>
        <v>1266.2</v>
      </c>
      <c r="J1107" s="129">
        <f t="shared" ref="J1107:L1107" si="400">SUM(J1108:J1110)</f>
        <v>1144.9000000000001</v>
      </c>
      <c r="K1107" s="129">
        <f t="shared" si="400"/>
        <v>922.5</v>
      </c>
      <c r="L1107" s="139">
        <f t="shared" si="400"/>
        <v>52</v>
      </c>
      <c r="M1107" s="138" t="s">
        <v>934</v>
      </c>
      <c r="N1107" s="138" t="s">
        <v>934</v>
      </c>
      <c r="O1107" s="136" t="s">
        <v>934</v>
      </c>
      <c r="P1107" s="130">
        <v>4715781.71</v>
      </c>
      <c r="Q1107" s="130">
        <f t="shared" ref="Q1107:S1107" si="401">Q1108+Q1109+Q1110</f>
        <v>0</v>
      </c>
      <c r="R1107" s="130">
        <f t="shared" si="401"/>
        <v>0</v>
      </c>
      <c r="S1107" s="130">
        <f t="shared" si="401"/>
        <v>4715781.71</v>
      </c>
      <c r="T1107" s="130">
        <f t="shared" si="396"/>
        <v>3724.3576923076921</v>
      </c>
      <c r="U1107" s="130">
        <f>MAX(U1108:U1110)</f>
        <v>5227.1115176151761</v>
      </c>
    </row>
    <row r="1108" spans="1:184" s="20" customFormat="1" ht="36" customHeight="1" x14ac:dyDescent="0.9">
      <c r="A1108" s="64">
        <v>1</v>
      </c>
      <c r="B1108" s="96">
        <f>SUBTOTAL(103,$A$923:A1108)</f>
        <v>160</v>
      </c>
      <c r="C1108" s="128" t="s">
        <v>835</v>
      </c>
      <c r="D1108" s="138">
        <v>1961</v>
      </c>
      <c r="E1108" s="138"/>
      <c r="F1108" s="169" t="s">
        <v>273</v>
      </c>
      <c r="G1108" s="138">
        <v>2</v>
      </c>
      <c r="H1108" s="138">
        <v>1</v>
      </c>
      <c r="I1108" s="129">
        <v>442.8</v>
      </c>
      <c r="J1108" s="129">
        <v>393.5</v>
      </c>
      <c r="K1108" s="129">
        <v>240.4</v>
      </c>
      <c r="L1108" s="140">
        <v>21</v>
      </c>
      <c r="M1108" s="138" t="s">
        <v>271</v>
      </c>
      <c r="N1108" s="138" t="s">
        <v>345</v>
      </c>
      <c r="O1108" s="138" t="s">
        <v>346</v>
      </c>
      <c r="P1108" s="129">
        <v>1710080.82</v>
      </c>
      <c r="Q1108" s="129">
        <v>0</v>
      </c>
      <c r="R1108" s="129">
        <v>0</v>
      </c>
      <c r="S1108" s="129">
        <f t="shared" ref="S1108:S1110" si="402">P1108-Q1108-R1108</f>
        <v>1710080.82</v>
      </c>
      <c r="T1108" s="130">
        <f t="shared" si="396"/>
        <v>3861.9711382113824</v>
      </c>
      <c r="U1108" s="130">
        <v>5227.1115176151761</v>
      </c>
      <c r="DJ1108" s="131"/>
      <c r="DK1108" s="131"/>
      <c r="DL1108" s="131"/>
      <c r="DZ1108" s="132"/>
      <c r="EI1108" s="133"/>
      <c r="FL1108" s="134"/>
      <c r="GB1108" s="135"/>
    </row>
    <row r="1109" spans="1:184" s="20" customFormat="1" ht="36" customHeight="1" x14ac:dyDescent="0.9">
      <c r="A1109" s="64">
        <v>1</v>
      </c>
      <c r="B1109" s="96">
        <f>SUBTOTAL(103,$A$923:A1109)</f>
        <v>161</v>
      </c>
      <c r="C1109" s="128" t="s">
        <v>187</v>
      </c>
      <c r="D1109" s="138">
        <v>1960</v>
      </c>
      <c r="E1109" s="138"/>
      <c r="F1109" s="169" t="s">
        <v>273</v>
      </c>
      <c r="G1109" s="138">
        <v>2</v>
      </c>
      <c r="H1109" s="138">
        <v>1</v>
      </c>
      <c r="I1109" s="129">
        <v>442.6</v>
      </c>
      <c r="J1109" s="129">
        <v>400.2</v>
      </c>
      <c r="K1109" s="129">
        <v>353.8</v>
      </c>
      <c r="L1109" s="140">
        <v>12</v>
      </c>
      <c r="M1109" s="138" t="s">
        <v>271</v>
      </c>
      <c r="N1109" s="138" t="s">
        <v>345</v>
      </c>
      <c r="O1109" s="138" t="s">
        <v>346</v>
      </c>
      <c r="P1109" s="129">
        <v>1452729.9</v>
      </c>
      <c r="Q1109" s="129">
        <v>0</v>
      </c>
      <c r="R1109" s="129">
        <v>0</v>
      </c>
      <c r="S1109" s="129">
        <f t="shared" si="402"/>
        <v>1452729.9</v>
      </c>
      <c r="T1109" s="130">
        <f t="shared" si="396"/>
        <v>3282.2636692272927</v>
      </c>
      <c r="U1109" s="130">
        <v>3551.3321283325804</v>
      </c>
      <c r="DJ1109" s="131"/>
      <c r="DK1109" s="131"/>
      <c r="DL1109" s="131"/>
      <c r="DZ1109" s="132"/>
      <c r="EI1109" s="133"/>
      <c r="FL1109" s="134"/>
      <c r="GB1109" s="135"/>
    </row>
    <row r="1110" spans="1:184" s="20" customFormat="1" ht="36" customHeight="1" x14ac:dyDescent="0.9">
      <c r="A1110" s="64">
        <v>1</v>
      </c>
      <c r="B1110" s="96">
        <f>SUBTOTAL(103,$A$923:A1110)</f>
        <v>162</v>
      </c>
      <c r="C1110" s="128" t="s">
        <v>184</v>
      </c>
      <c r="D1110" s="138">
        <v>1968</v>
      </c>
      <c r="E1110" s="138"/>
      <c r="F1110" s="169" t="s">
        <v>273</v>
      </c>
      <c r="G1110" s="138">
        <v>2</v>
      </c>
      <c r="H1110" s="138">
        <v>1</v>
      </c>
      <c r="I1110" s="129">
        <v>380.8</v>
      </c>
      <c r="J1110" s="129">
        <v>351.2</v>
      </c>
      <c r="K1110" s="129">
        <v>328.3</v>
      </c>
      <c r="L1110" s="140">
        <v>19</v>
      </c>
      <c r="M1110" s="138" t="s">
        <v>271</v>
      </c>
      <c r="N1110" s="138" t="s">
        <v>345</v>
      </c>
      <c r="O1110" s="138" t="s">
        <v>346</v>
      </c>
      <c r="P1110" s="129">
        <v>1552970.99</v>
      </c>
      <c r="Q1110" s="129">
        <v>0</v>
      </c>
      <c r="R1110" s="129">
        <v>0</v>
      </c>
      <c r="S1110" s="129">
        <f t="shared" si="402"/>
        <v>1552970.99</v>
      </c>
      <c r="T1110" s="130">
        <f t="shared" si="396"/>
        <v>4078.180120798319</v>
      </c>
      <c r="U1110" s="130">
        <v>4492.8182247899158</v>
      </c>
      <c r="DJ1110" s="131"/>
      <c r="DK1110" s="131"/>
      <c r="DL1110" s="131"/>
      <c r="DZ1110" s="132"/>
      <c r="EI1110" s="133"/>
      <c r="FL1110" s="134"/>
      <c r="GB1110" s="135"/>
    </row>
    <row r="1111" spans="1:184" s="64" customFormat="1" ht="36" customHeight="1" x14ac:dyDescent="0.9">
      <c r="B1111" s="94" t="s">
        <v>878</v>
      </c>
      <c r="C1111" s="94"/>
      <c r="D1111" s="138" t="s">
        <v>934</v>
      </c>
      <c r="E1111" s="138" t="s">
        <v>934</v>
      </c>
      <c r="F1111" s="138" t="s">
        <v>934</v>
      </c>
      <c r="G1111" s="138" t="s">
        <v>934</v>
      </c>
      <c r="H1111" s="138" t="s">
        <v>934</v>
      </c>
      <c r="I1111" s="129">
        <f>SUM(I1112:I1113)</f>
        <v>703.5</v>
      </c>
      <c r="J1111" s="129">
        <f t="shared" ref="J1111:L1111" si="403">SUM(J1112:J1113)</f>
        <v>641.4</v>
      </c>
      <c r="K1111" s="129">
        <f t="shared" si="403"/>
        <v>603.20000000000005</v>
      </c>
      <c r="L1111" s="139">
        <f t="shared" si="403"/>
        <v>36</v>
      </c>
      <c r="M1111" s="138" t="s">
        <v>934</v>
      </c>
      <c r="N1111" s="138" t="s">
        <v>934</v>
      </c>
      <c r="O1111" s="136" t="s">
        <v>934</v>
      </c>
      <c r="P1111" s="130">
        <v>2590114.16</v>
      </c>
      <c r="Q1111" s="130">
        <f t="shared" ref="Q1111:S1111" si="404">Q1112+Q1113</f>
        <v>0</v>
      </c>
      <c r="R1111" s="130">
        <f t="shared" si="404"/>
        <v>0</v>
      </c>
      <c r="S1111" s="130">
        <f t="shared" si="404"/>
        <v>2590114.16</v>
      </c>
      <c r="T1111" s="130">
        <f t="shared" si="396"/>
        <v>3681.7543141435681</v>
      </c>
      <c r="U1111" s="130">
        <f>MAX(U1112:U1113)</f>
        <v>4259.1013682678313</v>
      </c>
    </row>
    <row r="1112" spans="1:184" s="20" customFormat="1" ht="36" customHeight="1" x14ac:dyDescent="0.9">
      <c r="A1112" s="64">
        <v>1</v>
      </c>
      <c r="B1112" s="96">
        <f>SUBTOTAL(103,$A$923:A1112)</f>
        <v>163</v>
      </c>
      <c r="C1112" s="128" t="s">
        <v>185</v>
      </c>
      <c r="D1112" s="138">
        <v>1959</v>
      </c>
      <c r="E1112" s="138"/>
      <c r="F1112" s="169" t="s">
        <v>338</v>
      </c>
      <c r="G1112" s="138">
        <v>2</v>
      </c>
      <c r="H1112" s="138">
        <v>1</v>
      </c>
      <c r="I1112" s="129">
        <v>360</v>
      </c>
      <c r="J1112" s="129">
        <v>325.89999999999998</v>
      </c>
      <c r="K1112" s="129">
        <v>287.7</v>
      </c>
      <c r="L1112" s="140">
        <v>15</v>
      </c>
      <c r="M1112" s="138" t="s">
        <v>271</v>
      </c>
      <c r="N1112" s="138" t="s">
        <v>345</v>
      </c>
      <c r="O1112" s="138" t="s">
        <v>347</v>
      </c>
      <c r="P1112" s="129">
        <v>1262131.9000000001</v>
      </c>
      <c r="Q1112" s="129">
        <v>0</v>
      </c>
      <c r="R1112" s="129">
        <v>0</v>
      </c>
      <c r="S1112" s="129">
        <f t="shared" ref="S1112:S1113" si="405">P1112-Q1112-R1112</f>
        <v>1262131.9000000001</v>
      </c>
      <c r="T1112" s="130">
        <f t="shared" si="396"/>
        <v>3505.9219444444448</v>
      </c>
      <c r="U1112" s="130">
        <v>3862.3772222222224</v>
      </c>
      <c r="DJ1112" s="131"/>
      <c r="DK1112" s="131"/>
      <c r="DL1112" s="131"/>
      <c r="DZ1112" s="132"/>
      <c r="EI1112" s="133"/>
      <c r="FL1112" s="134"/>
      <c r="GB1112" s="135"/>
    </row>
    <row r="1113" spans="1:184" s="20" customFormat="1" ht="36" customHeight="1" x14ac:dyDescent="0.9">
      <c r="A1113" s="64">
        <v>1</v>
      </c>
      <c r="B1113" s="96">
        <f>SUBTOTAL(103,$A$923:A1113)</f>
        <v>164</v>
      </c>
      <c r="C1113" s="128" t="s">
        <v>181</v>
      </c>
      <c r="D1113" s="138">
        <v>1970</v>
      </c>
      <c r="E1113" s="138"/>
      <c r="F1113" s="169" t="s">
        <v>273</v>
      </c>
      <c r="G1113" s="138">
        <v>2</v>
      </c>
      <c r="H1113" s="138">
        <v>1</v>
      </c>
      <c r="I1113" s="129">
        <v>343.5</v>
      </c>
      <c r="J1113" s="129">
        <v>315.5</v>
      </c>
      <c r="K1113" s="129">
        <v>315.5</v>
      </c>
      <c r="L1113" s="140">
        <v>21</v>
      </c>
      <c r="M1113" s="138" t="s">
        <v>271</v>
      </c>
      <c r="N1113" s="138" t="s">
        <v>345</v>
      </c>
      <c r="O1113" s="138" t="s">
        <v>347</v>
      </c>
      <c r="P1113" s="129">
        <v>1327982.26</v>
      </c>
      <c r="Q1113" s="129">
        <v>0</v>
      </c>
      <c r="R1113" s="129">
        <v>0</v>
      </c>
      <c r="S1113" s="129">
        <f t="shared" si="405"/>
        <v>1327982.26</v>
      </c>
      <c r="T1113" s="130">
        <f t="shared" si="396"/>
        <v>3866.0327802037846</v>
      </c>
      <c r="U1113" s="130">
        <v>4259.1013682678313</v>
      </c>
      <c r="DJ1113" s="131"/>
      <c r="DK1113" s="131"/>
      <c r="DL1113" s="131"/>
      <c r="DZ1113" s="132"/>
      <c r="EI1113" s="133"/>
      <c r="FL1113" s="134"/>
      <c r="GB1113" s="135"/>
    </row>
    <row r="1114" spans="1:184" s="64" customFormat="1" ht="36" customHeight="1" x14ac:dyDescent="0.9">
      <c r="B1114" s="94" t="s">
        <v>879</v>
      </c>
      <c r="C1114" s="94"/>
      <c r="D1114" s="138" t="s">
        <v>934</v>
      </c>
      <c r="E1114" s="138" t="s">
        <v>934</v>
      </c>
      <c r="F1114" s="138" t="s">
        <v>934</v>
      </c>
      <c r="G1114" s="138" t="s">
        <v>934</v>
      </c>
      <c r="H1114" s="138" t="s">
        <v>934</v>
      </c>
      <c r="I1114" s="129">
        <f>I1115</f>
        <v>1217.2</v>
      </c>
      <c r="J1114" s="129">
        <f t="shared" ref="J1114:L1114" si="406">J1115</f>
        <v>862.2</v>
      </c>
      <c r="K1114" s="129">
        <f t="shared" si="406"/>
        <v>862.2</v>
      </c>
      <c r="L1114" s="139">
        <f t="shared" si="406"/>
        <v>47</v>
      </c>
      <c r="M1114" s="138" t="s">
        <v>934</v>
      </c>
      <c r="N1114" s="138" t="s">
        <v>934</v>
      </c>
      <c r="O1114" s="136" t="s">
        <v>934</v>
      </c>
      <c r="P1114" s="130">
        <v>1456533.11</v>
      </c>
      <c r="Q1114" s="130">
        <f t="shared" ref="Q1114:S1114" si="407">Q1115</f>
        <v>0</v>
      </c>
      <c r="R1114" s="130">
        <f t="shared" si="407"/>
        <v>0</v>
      </c>
      <c r="S1114" s="130">
        <f t="shared" si="407"/>
        <v>1456533.11</v>
      </c>
      <c r="T1114" s="130">
        <f t="shared" si="396"/>
        <v>1196.6259530069012</v>
      </c>
      <c r="U1114" s="130">
        <f>U1115</f>
        <v>1390.6743345382845</v>
      </c>
    </row>
    <row r="1115" spans="1:184" s="20" customFormat="1" ht="36" customHeight="1" x14ac:dyDescent="0.9">
      <c r="A1115" s="64">
        <v>1</v>
      </c>
      <c r="B1115" s="96">
        <f>SUBTOTAL(103,$A$923:A1115)</f>
        <v>165</v>
      </c>
      <c r="C1115" s="128" t="s">
        <v>836</v>
      </c>
      <c r="D1115" s="138">
        <v>1980</v>
      </c>
      <c r="E1115" s="138"/>
      <c r="F1115" s="169" t="s">
        <v>273</v>
      </c>
      <c r="G1115" s="138">
        <v>2</v>
      </c>
      <c r="H1115" s="138">
        <v>3</v>
      </c>
      <c r="I1115" s="129">
        <v>1217.2</v>
      </c>
      <c r="J1115" s="129">
        <v>862.2</v>
      </c>
      <c r="K1115" s="129">
        <v>862.2</v>
      </c>
      <c r="L1115" s="140">
        <v>47</v>
      </c>
      <c r="M1115" s="138" t="s">
        <v>271</v>
      </c>
      <c r="N1115" s="138" t="s">
        <v>349</v>
      </c>
      <c r="O1115" s="138" t="s">
        <v>855</v>
      </c>
      <c r="P1115" s="129">
        <v>1456533.11</v>
      </c>
      <c r="Q1115" s="129">
        <v>0</v>
      </c>
      <c r="R1115" s="129">
        <v>0</v>
      </c>
      <c r="S1115" s="129">
        <f>P1115-Q1115-R1115</f>
        <v>1456533.11</v>
      </c>
      <c r="T1115" s="130">
        <f t="shared" si="396"/>
        <v>1196.6259530069012</v>
      </c>
      <c r="U1115" s="130">
        <v>1390.6743345382845</v>
      </c>
      <c r="DJ1115" s="131"/>
      <c r="DK1115" s="131"/>
      <c r="DL1115" s="131"/>
      <c r="DZ1115" s="132"/>
      <c r="EI1115" s="133"/>
      <c r="FL1115" s="134"/>
      <c r="GB1115" s="135"/>
    </row>
    <row r="1116" spans="1:184" s="64" customFormat="1" ht="36" customHeight="1" x14ac:dyDescent="0.9">
      <c r="B1116" s="94" t="s">
        <v>881</v>
      </c>
      <c r="C1116" s="126"/>
      <c r="D1116" s="138" t="s">
        <v>934</v>
      </c>
      <c r="E1116" s="138" t="s">
        <v>934</v>
      </c>
      <c r="F1116" s="138" t="s">
        <v>934</v>
      </c>
      <c r="G1116" s="138" t="s">
        <v>934</v>
      </c>
      <c r="H1116" s="138" t="s">
        <v>934</v>
      </c>
      <c r="I1116" s="129">
        <f>SUM(I1117:I1119)</f>
        <v>1774</v>
      </c>
      <c r="J1116" s="129">
        <f t="shared" ref="J1116:L1116" si="408">SUM(J1117:J1119)</f>
        <v>1611</v>
      </c>
      <c r="K1116" s="129">
        <f t="shared" si="408"/>
        <v>1526</v>
      </c>
      <c r="L1116" s="139">
        <f t="shared" si="408"/>
        <v>80</v>
      </c>
      <c r="M1116" s="138" t="s">
        <v>934</v>
      </c>
      <c r="N1116" s="138" t="s">
        <v>934</v>
      </c>
      <c r="O1116" s="136" t="s">
        <v>934</v>
      </c>
      <c r="P1116" s="130">
        <v>10290828.25</v>
      </c>
      <c r="Q1116" s="130">
        <f t="shared" ref="Q1116:S1116" si="409">Q1117+Q1118+Q1119</f>
        <v>0</v>
      </c>
      <c r="R1116" s="130">
        <f t="shared" si="409"/>
        <v>0</v>
      </c>
      <c r="S1116" s="130">
        <f t="shared" si="409"/>
        <v>10290828.25</v>
      </c>
      <c r="T1116" s="130">
        <f t="shared" si="396"/>
        <v>5800.9178410372042</v>
      </c>
      <c r="U1116" s="130">
        <f>MAX(U1117:U1119)</f>
        <v>9123.529440870856</v>
      </c>
    </row>
    <row r="1117" spans="1:184" s="20" customFormat="1" ht="36" customHeight="1" x14ac:dyDescent="0.9">
      <c r="A1117" s="64">
        <v>1</v>
      </c>
      <c r="B1117" s="96">
        <f>SUBTOTAL(103,$A$923:A1117)</f>
        <v>166</v>
      </c>
      <c r="C1117" s="128" t="s">
        <v>86</v>
      </c>
      <c r="D1117" s="138">
        <v>1952</v>
      </c>
      <c r="E1117" s="138"/>
      <c r="F1117" s="169" t="s">
        <v>273</v>
      </c>
      <c r="G1117" s="138">
        <v>2</v>
      </c>
      <c r="H1117" s="138">
        <v>2</v>
      </c>
      <c r="I1117" s="129">
        <v>744</v>
      </c>
      <c r="J1117" s="129">
        <v>670</v>
      </c>
      <c r="K1117" s="129">
        <v>617</v>
      </c>
      <c r="L1117" s="140">
        <v>23</v>
      </c>
      <c r="M1117" s="138" t="s">
        <v>271</v>
      </c>
      <c r="N1117" s="138" t="s">
        <v>272</v>
      </c>
      <c r="O1117" s="138" t="s">
        <v>274</v>
      </c>
      <c r="P1117" s="129">
        <v>3665226.5</v>
      </c>
      <c r="Q1117" s="129">
        <v>0</v>
      </c>
      <c r="R1117" s="129">
        <v>0</v>
      </c>
      <c r="S1117" s="129">
        <f t="shared" ref="S1117:S1119" si="410">P1117-Q1117-R1117</f>
        <v>3665226.5</v>
      </c>
      <c r="T1117" s="130">
        <f t="shared" si="396"/>
        <v>4926.3797043010754</v>
      </c>
      <c r="U1117" s="130">
        <v>5281.6518817204305</v>
      </c>
      <c r="DJ1117" s="131"/>
      <c r="DK1117" s="131"/>
      <c r="DL1117" s="131"/>
      <c r="DZ1117" s="132"/>
      <c r="EI1117" s="133"/>
      <c r="FL1117" s="134"/>
      <c r="GB1117" s="135"/>
    </row>
    <row r="1118" spans="1:184" s="20" customFormat="1" ht="36" customHeight="1" x14ac:dyDescent="0.9">
      <c r="A1118" s="64">
        <v>1</v>
      </c>
      <c r="B1118" s="96">
        <f>SUBTOTAL(103,$A$923:A1118)</f>
        <v>167</v>
      </c>
      <c r="C1118" s="128" t="s">
        <v>87</v>
      </c>
      <c r="D1118" s="138">
        <v>1951</v>
      </c>
      <c r="E1118" s="138"/>
      <c r="F1118" s="169" t="s">
        <v>273</v>
      </c>
      <c r="G1118" s="138">
        <v>2</v>
      </c>
      <c r="H1118" s="138">
        <v>2</v>
      </c>
      <c r="I1118" s="129">
        <v>625.79999999999995</v>
      </c>
      <c r="J1118" s="129">
        <v>578</v>
      </c>
      <c r="K1118" s="129">
        <v>546</v>
      </c>
      <c r="L1118" s="140">
        <v>42</v>
      </c>
      <c r="M1118" s="138" t="s">
        <v>271</v>
      </c>
      <c r="N1118" s="138" t="s">
        <v>272</v>
      </c>
      <c r="O1118" s="138" t="s">
        <v>274</v>
      </c>
      <c r="P1118" s="129">
        <v>3185927.6500000004</v>
      </c>
      <c r="Q1118" s="129">
        <v>0</v>
      </c>
      <c r="R1118" s="129">
        <v>0</v>
      </c>
      <c r="S1118" s="129">
        <f t="shared" si="410"/>
        <v>3185927.6500000004</v>
      </c>
      <c r="T1118" s="130">
        <f t="shared" si="396"/>
        <v>5090.9678012144468</v>
      </c>
      <c r="U1118" s="130">
        <v>5458.1094598913396</v>
      </c>
      <c r="DJ1118" s="131"/>
      <c r="DK1118" s="131"/>
      <c r="DL1118" s="131"/>
      <c r="DZ1118" s="132"/>
      <c r="EI1118" s="133"/>
      <c r="FL1118" s="134"/>
      <c r="GB1118" s="135"/>
    </row>
    <row r="1119" spans="1:184" s="20" customFormat="1" ht="36" customHeight="1" x14ac:dyDescent="0.9">
      <c r="A1119" s="64">
        <v>1</v>
      </c>
      <c r="B1119" s="96">
        <f>SUBTOTAL(103,$A$923:A1119)</f>
        <v>168</v>
      </c>
      <c r="C1119" s="128" t="s">
        <v>85</v>
      </c>
      <c r="D1119" s="138">
        <v>1951</v>
      </c>
      <c r="E1119" s="138"/>
      <c r="F1119" s="169" t="s">
        <v>273</v>
      </c>
      <c r="G1119" s="138">
        <v>2</v>
      </c>
      <c r="H1119" s="138">
        <v>2</v>
      </c>
      <c r="I1119" s="129">
        <v>404.2</v>
      </c>
      <c r="J1119" s="129">
        <v>363</v>
      </c>
      <c r="K1119" s="129">
        <v>363</v>
      </c>
      <c r="L1119" s="140">
        <v>15</v>
      </c>
      <c r="M1119" s="138" t="s">
        <v>271</v>
      </c>
      <c r="N1119" s="138" t="s">
        <v>272</v>
      </c>
      <c r="O1119" s="138" t="s">
        <v>274</v>
      </c>
      <c r="P1119" s="129">
        <v>3439674.1</v>
      </c>
      <c r="Q1119" s="129">
        <v>0</v>
      </c>
      <c r="R1119" s="129">
        <v>0</v>
      </c>
      <c r="S1119" s="129">
        <f t="shared" si="410"/>
        <v>3439674.1</v>
      </c>
      <c r="T1119" s="130">
        <f t="shared" si="396"/>
        <v>8509.8320138545278</v>
      </c>
      <c r="U1119" s="130">
        <v>9123.529440870856</v>
      </c>
      <c r="DJ1119" s="131"/>
      <c r="DK1119" s="131"/>
      <c r="DL1119" s="131"/>
      <c r="DZ1119" s="132"/>
      <c r="EI1119" s="133"/>
      <c r="FL1119" s="134"/>
      <c r="GB1119" s="135"/>
    </row>
    <row r="1120" spans="1:184" s="64" customFormat="1" ht="36" customHeight="1" x14ac:dyDescent="0.9">
      <c r="B1120" s="94" t="s">
        <v>882</v>
      </c>
      <c r="C1120" s="94"/>
      <c r="D1120" s="138" t="s">
        <v>934</v>
      </c>
      <c r="E1120" s="138" t="s">
        <v>934</v>
      </c>
      <c r="F1120" s="138" t="s">
        <v>934</v>
      </c>
      <c r="G1120" s="138" t="s">
        <v>934</v>
      </c>
      <c r="H1120" s="138" t="s">
        <v>934</v>
      </c>
      <c r="I1120" s="129">
        <f>I1121</f>
        <v>609</v>
      </c>
      <c r="J1120" s="129">
        <f t="shared" ref="J1120:L1120" si="411">J1121</f>
        <v>609</v>
      </c>
      <c r="K1120" s="129">
        <f t="shared" si="411"/>
        <v>579</v>
      </c>
      <c r="L1120" s="139">
        <f t="shared" si="411"/>
        <v>31</v>
      </c>
      <c r="M1120" s="138" t="s">
        <v>934</v>
      </c>
      <c r="N1120" s="138" t="s">
        <v>934</v>
      </c>
      <c r="O1120" s="136" t="s">
        <v>934</v>
      </c>
      <c r="P1120" s="130">
        <v>3013803.8600000003</v>
      </c>
      <c r="Q1120" s="130">
        <f t="shared" ref="Q1120:S1120" si="412">Q1121</f>
        <v>0</v>
      </c>
      <c r="R1120" s="130">
        <f t="shared" si="412"/>
        <v>0</v>
      </c>
      <c r="S1120" s="130">
        <f t="shared" si="412"/>
        <v>3013803.8600000003</v>
      </c>
      <c r="T1120" s="130">
        <f t="shared" si="396"/>
        <v>4948.7748111658466</v>
      </c>
      <c r="U1120" s="130">
        <f>U1121</f>
        <v>5817.1421346469624</v>
      </c>
    </row>
    <row r="1121" spans="1:184" s="20" customFormat="1" ht="36" customHeight="1" x14ac:dyDescent="0.9">
      <c r="A1121" s="64">
        <v>1</v>
      </c>
      <c r="B1121" s="96">
        <f>SUBTOTAL(103,$A$923:A1121)</f>
        <v>169</v>
      </c>
      <c r="C1121" s="128" t="s">
        <v>89</v>
      </c>
      <c r="D1121" s="138">
        <v>1967</v>
      </c>
      <c r="E1121" s="138"/>
      <c r="F1121" s="169" t="s">
        <v>273</v>
      </c>
      <c r="G1121" s="138">
        <v>2</v>
      </c>
      <c r="H1121" s="138">
        <v>2</v>
      </c>
      <c r="I1121" s="129">
        <v>609</v>
      </c>
      <c r="J1121" s="129">
        <v>609</v>
      </c>
      <c r="K1121" s="129">
        <v>579</v>
      </c>
      <c r="L1121" s="140">
        <v>31</v>
      </c>
      <c r="M1121" s="138" t="s">
        <v>271</v>
      </c>
      <c r="N1121" s="138" t="s">
        <v>272</v>
      </c>
      <c r="O1121" s="138" t="s">
        <v>274</v>
      </c>
      <c r="P1121" s="129">
        <v>3013803.8600000003</v>
      </c>
      <c r="Q1121" s="129">
        <v>0</v>
      </c>
      <c r="R1121" s="129">
        <v>0</v>
      </c>
      <c r="S1121" s="129">
        <f>P1121-Q1121-R1121</f>
        <v>3013803.8600000003</v>
      </c>
      <c r="T1121" s="130">
        <f t="shared" si="396"/>
        <v>4948.7748111658466</v>
      </c>
      <c r="U1121" s="130">
        <v>5817.1421346469624</v>
      </c>
      <c r="DJ1121" s="131"/>
      <c r="DK1121" s="131"/>
      <c r="DL1121" s="131"/>
      <c r="DZ1121" s="132"/>
      <c r="EI1121" s="133"/>
      <c r="FL1121" s="134"/>
      <c r="GB1121" s="135"/>
    </row>
    <row r="1122" spans="1:184" s="64" customFormat="1" ht="36" customHeight="1" x14ac:dyDescent="0.9">
      <c r="B1122" s="94" t="s">
        <v>932</v>
      </c>
      <c r="C1122" s="94"/>
      <c r="D1122" s="138" t="s">
        <v>934</v>
      </c>
      <c r="E1122" s="138" t="s">
        <v>934</v>
      </c>
      <c r="F1122" s="138" t="s">
        <v>934</v>
      </c>
      <c r="G1122" s="138" t="s">
        <v>934</v>
      </c>
      <c r="H1122" s="138" t="s">
        <v>934</v>
      </c>
      <c r="I1122" s="129">
        <f>I1123</f>
        <v>616.20000000000005</v>
      </c>
      <c r="J1122" s="129">
        <f t="shared" ref="J1122:L1122" si="413">J1123</f>
        <v>315</v>
      </c>
      <c r="K1122" s="129">
        <f t="shared" si="413"/>
        <v>315</v>
      </c>
      <c r="L1122" s="139">
        <f t="shared" si="413"/>
        <v>21</v>
      </c>
      <c r="M1122" s="138" t="s">
        <v>934</v>
      </c>
      <c r="N1122" s="138" t="s">
        <v>934</v>
      </c>
      <c r="O1122" s="136" t="s">
        <v>934</v>
      </c>
      <c r="P1122" s="130">
        <v>2036502</v>
      </c>
      <c r="Q1122" s="130">
        <f t="shared" ref="Q1122:S1122" si="414">Q1123</f>
        <v>0</v>
      </c>
      <c r="R1122" s="130">
        <f t="shared" si="414"/>
        <v>0</v>
      </c>
      <c r="S1122" s="130">
        <f t="shared" si="414"/>
        <v>2036502</v>
      </c>
      <c r="T1122" s="130">
        <f t="shared" si="396"/>
        <v>3304.9367088607592</v>
      </c>
      <c r="U1122" s="130">
        <f>U1123</f>
        <v>3826.2405063291135</v>
      </c>
    </row>
    <row r="1123" spans="1:184" s="20" customFormat="1" ht="36" customHeight="1" x14ac:dyDescent="0.9">
      <c r="A1123" s="64">
        <v>1</v>
      </c>
      <c r="B1123" s="96">
        <f>SUBTOTAL(103,$A$923:A1123)</f>
        <v>170</v>
      </c>
      <c r="C1123" s="128" t="s">
        <v>88</v>
      </c>
      <c r="D1123" s="138">
        <v>1982</v>
      </c>
      <c r="E1123" s="138"/>
      <c r="F1123" s="169" t="s">
        <v>273</v>
      </c>
      <c r="G1123" s="138">
        <v>2</v>
      </c>
      <c r="H1123" s="138">
        <v>2</v>
      </c>
      <c r="I1123" s="129">
        <v>616.20000000000005</v>
      </c>
      <c r="J1123" s="129">
        <v>315</v>
      </c>
      <c r="K1123" s="129">
        <v>315</v>
      </c>
      <c r="L1123" s="140">
        <v>21</v>
      </c>
      <c r="M1123" s="138" t="s">
        <v>271</v>
      </c>
      <c r="N1123" s="138" t="s">
        <v>272</v>
      </c>
      <c r="O1123" s="138" t="s">
        <v>274</v>
      </c>
      <c r="P1123" s="129">
        <v>2036502</v>
      </c>
      <c r="Q1123" s="129">
        <v>0</v>
      </c>
      <c r="R1123" s="129">
        <v>0</v>
      </c>
      <c r="S1123" s="129">
        <f>P1123-Q1123-R1123</f>
        <v>2036502</v>
      </c>
      <c r="T1123" s="130">
        <f t="shared" si="396"/>
        <v>3304.9367088607592</v>
      </c>
      <c r="U1123" s="130">
        <v>3826.2405063291135</v>
      </c>
      <c r="DJ1123" s="131"/>
      <c r="DK1123" s="131"/>
      <c r="DL1123" s="131"/>
      <c r="DZ1123" s="132"/>
      <c r="EI1123" s="133"/>
      <c r="FL1123" s="134"/>
      <c r="GB1123" s="135"/>
    </row>
    <row r="1124" spans="1:184" s="64" customFormat="1" ht="36" customHeight="1" x14ac:dyDescent="0.9">
      <c r="B1124" s="94" t="s">
        <v>883</v>
      </c>
      <c r="C1124" s="126"/>
      <c r="D1124" s="138" t="s">
        <v>934</v>
      </c>
      <c r="E1124" s="138" t="s">
        <v>934</v>
      </c>
      <c r="F1124" s="138" t="s">
        <v>934</v>
      </c>
      <c r="G1124" s="138" t="s">
        <v>934</v>
      </c>
      <c r="H1124" s="138" t="s">
        <v>934</v>
      </c>
      <c r="I1124" s="129">
        <f>I1125</f>
        <v>772.9</v>
      </c>
      <c r="J1124" s="129">
        <f t="shared" ref="J1124:L1124" si="415">J1125</f>
        <v>728.9</v>
      </c>
      <c r="K1124" s="129">
        <f t="shared" si="415"/>
        <v>650.20000000000005</v>
      </c>
      <c r="L1124" s="139">
        <f t="shared" si="415"/>
        <v>32</v>
      </c>
      <c r="M1124" s="138" t="s">
        <v>934</v>
      </c>
      <c r="N1124" s="138" t="s">
        <v>934</v>
      </c>
      <c r="O1124" s="136" t="s">
        <v>934</v>
      </c>
      <c r="P1124" s="130">
        <v>3592598.4</v>
      </c>
      <c r="Q1124" s="130">
        <f t="shared" ref="Q1124:S1124" si="416">Q1125</f>
        <v>0</v>
      </c>
      <c r="R1124" s="130">
        <f t="shared" si="416"/>
        <v>0</v>
      </c>
      <c r="S1124" s="130">
        <f t="shared" si="416"/>
        <v>3592598.4</v>
      </c>
      <c r="T1124" s="130">
        <f t="shared" si="396"/>
        <v>4648.2059774873851</v>
      </c>
      <c r="U1124" s="130">
        <f>U1125</f>
        <v>5381.3901927804372</v>
      </c>
    </row>
    <row r="1125" spans="1:184" s="20" customFormat="1" ht="36" customHeight="1" x14ac:dyDescent="0.9">
      <c r="A1125" s="64">
        <v>1</v>
      </c>
      <c r="B1125" s="96">
        <f>SUBTOTAL(103,$A$923:A1125)</f>
        <v>171</v>
      </c>
      <c r="C1125" s="128" t="s">
        <v>109</v>
      </c>
      <c r="D1125" s="138">
        <v>1971</v>
      </c>
      <c r="E1125" s="138"/>
      <c r="F1125" s="169" t="s">
        <v>273</v>
      </c>
      <c r="G1125" s="138">
        <v>2</v>
      </c>
      <c r="H1125" s="138">
        <v>2</v>
      </c>
      <c r="I1125" s="129">
        <v>772.9</v>
      </c>
      <c r="J1125" s="129">
        <v>728.9</v>
      </c>
      <c r="K1125" s="129">
        <v>650.20000000000005</v>
      </c>
      <c r="L1125" s="140">
        <v>32</v>
      </c>
      <c r="M1125" s="138" t="s">
        <v>271</v>
      </c>
      <c r="N1125" s="138" t="s">
        <v>272</v>
      </c>
      <c r="O1125" s="138" t="s">
        <v>274</v>
      </c>
      <c r="P1125" s="129">
        <v>3592598.4</v>
      </c>
      <c r="Q1125" s="129">
        <v>0</v>
      </c>
      <c r="R1125" s="129">
        <v>0</v>
      </c>
      <c r="S1125" s="129">
        <f>P1125-Q1125-R1125</f>
        <v>3592598.4</v>
      </c>
      <c r="T1125" s="130">
        <f t="shared" si="396"/>
        <v>4648.2059774873851</v>
      </c>
      <c r="U1125" s="130">
        <v>5381.3901927804372</v>
      </c>
      <c r="DJ1125" s="131"/>
      <c r="DK1125" s="131"/>
      <c r="DL1125" s="131"/>
      <c r="DZ1125" s="132"/>
      <c r="EI1125" s="133"/>
      <c r="FL1125" s="134"/>
      <c r="GB1125" s="135"/>
    </row>
    <row r="1126" spans="1:184" s="64" customFormat="1" ht="36" customHeight="1" x14ac:dyDescent="0.9">
      <c r="B1126" s="94" t="s">
        <v>918</v>
      </c>
      <c r="C1126" s="94"/>
      <c r="D1126" s="138" t="s">
        <v>934</v>
      </c>
      <c r="E1126" s="138" t="s">
        <v>934</v>
      </c>
      <c r="F1126" s="138" t="s">
        <v>934</v>
      </c>
      <c r="G1126" s="138" t="s">
        <v>934</v>
      </c>
      <c r="H1126" s="138" t="s">
        <v>934</v>
      </c>
      <c r="I1126" s="129">
        <f>I1127</f>
        <v>976.3</v>
      </c>
      <c r="J1126" s="129">
        <f t="shared" ref="J1126:L1126" si="417">J1127</f>
        <v>880.1</v>
      </c>
      <c r="K1126" s="129">
        <f t="shared" si="417"/>
        <v>880.1</v>
      </c>
      <c r="L1126" s="139">
        <f t="shared" si="417"/>
        <v>36</v>
      </c>
      <c r="M1126" s="138" t="s">
        <v>934</v>
      </c>
      <c r="N1126" s="138" t="s">
        <v>934</v>
      </c>
      <c r="O1126" s="136" t="s">
        <v>934</v>
      </c>
      <c r="P1126" s="130">
        <v>4454195.3999999994</v>
      </c>
      <c r="Q1126" s="130">
        <f t="shared" ref="Q1126:S1126" si="418">Q1127</f>
        <v>0</v>
      </c>
      <c r="R1126" s="130">
        <f t="shared" si="418"/>
        <v>0</v>
      </c>
      <c r="S1126" s="130">
        <f t="shared" si="418"/>
        <v>4454195.3999999994</v>
      </c>
      <c r="T1126" s="130">
        <f t="shared" si="396"/>
        <v>4562.3224418723748</v>
      </c>
      <c r="U1126" s="130">
        <f>U1127</f>
        <v>5281.9598279217453</v>
      </c>
    </row>
    <row r="1127" spans="1:184" s="20" customFormat="1" ht="36" customHeight="1" x14ac:dyDescent="0.9">
      <c r="A1127" s="64">
        <v>1</v>
      </c>
      <c r="B1127" s="96">
        <f>SUBTOTAL(103,$A$923:A1127)</f>
        <v>172</v>
      </c>
      <c r="C1127" s="128" t="s">
        <v>111</v>
      </c>
      <c r="D1127" s="138">
        <v>1987</v>
      </c>
      <c r="E1127" s="138"/>
      <c r="F1127" s="169" t="s">
        <v>273</v>
      </c>
      <c r="G1127" s="138">
        <v>2</v>
      </c>
      <c r="H1127" s="138">
        <v>3</v>
      </c>
      <c r="I1127" s="129">
        <v>976.3</v>
      </c>
      <c r="J1127" s="129">
        <v>880.1</v>
      </c>
      <c r="K1127" s="129">
        <v>880.1</v>
      </c>
      <c r="L1127" s="140">
        <v>36</v>
      </c>
      <c r="M1127" s="138" t="s">
        <v>271</v>
      </c>
      <c r="N1127" s="138" t="s">
        <v>272</v>
      </c>
      <c r="O1127" s="138" t="s">
        <v>274</v>
      </c>
      <c r="P1127" s="129">
        <v>4454195.3999999994</v>
      </c>
      <c r="Q1127" s="129">
        <v>0</v>
      </c>
      <c r="R1127" s="129">
        <v>0</v>
      </c>
      <c r="S1127" s="129">
        <f>P1127-Q1127-R1127</f>
        <v>4454195.3999999994</v>
      </c>
      <c r="T1127" s="130">
        <f t="shared" si="396"/>
        <v>4562.3224418723748</v>
      </c>
      <c r="U1127" s="130">
        <v>5281.9598279217453</v>
      </c>
      <c r="DJ1127" s="131"/>
      <c r="DK1127" s="131"/>
      <c r="DL1127" s="131"/>
      <c r="DZ1127" s="132"/>
      <c r="EI1127" s="133"/>
      <c r="FL1127" s="134"/>
      <c r="GB1127" s="135"/>
    </row>
    <row r="1128" spans="1:184" s="64" customFormat="1" ht="36" customHeight="1" x14ac:dyDescent="0.9">
      <c r="B1128" s="94" t="s">
        <v>933</v>
      </c>
      <c r="C1128" s="126"/>
      <c r="D1128" s="138" t="s">
        <v>934</v>
      </c>
      <c r="E1128" s="138" t="s">
        <v>934</v>
      </c>
      <c r="F1128" s="138" t="s">
        <v>934</v>
      </c>
      <c r="G1128" s="138" t="s">
        <v>934</v>
      </c>
      <c r="H1128" s="138" t="s">
        <v>934</v>
      </c>
      <c r="I1128" s="129">
        <f>I1129</f>
        <v>781.7</v>
      </c>
      <c r="J1128" s="129">
        <f t="shared" ref="J1128:L1128" si="419">J1129</f>
        <v>722.5</v>
      </c>
      <c r="K1128" s="129">
        <f t="shared" si="419"/>
        <v>505.6</v>
      </c>
      <c r="L1128" s="139">
        <f t="shared" si="419"/>
        <v>25</v>
      </c>
      <c r="M1128" s="138" t="s">
        <v>934</v>
      </c>
      <c r="N1128" s="138" t="s">
        <v>934</v>
      </c>
      <c r="O1128" s="136" t="s">
        <v>934</v>
      </c>
      <c r="P1128" s="130">
        <v>4839701.7600000007</v>
      </c>
      <c r="Q1128" s="130">
        <f t="shared" ref="Q1128:S1128" si="420">Q1129</f>
        <v>0</v>
      </c>
      <c r="R1128" s="130">
        <f t="shared" si="420"/>
        <v>0</v>
      </c>
      <c r="S1128" s="130">
        <f t="shared" si="420"/>
        <v>4839701.7600000007</v>
      </c>
      <c r="T1128" s="130">
        <f t="shared" si="396"/>
        <v>6191.2520915952418</v>
      </c>
      <c r="U1128" s="130">
        <f>U1129</f>
        <v>7167.8568399641808</v>
      </c>
    </row>
    <row r="1129" spans="1:184" s="20" customFormat="1" ht="36" customHeight="1" x14ac:dyDescent="0.9">
      <c r="A1129" s="64">
        <v>1</v>
      </c>
      <c r="B1129" s="96">
        <f>SUBTOTAL(103,$A$923:A1129)</f>
        <v>173</v>
      </c>
      <c r="C1129" s="128" t="s">
        <v>215</v>
      </c>
      <c r="D1129" s="138">
        <v>1968</v>
      </c>
      <c r="E1129" s="138"/>
      <c r="F1129" s="169" t="s">
        <v>273</v>
      </c>
      <c r="G1129" s="138">
        <v>2</v>
      </c>
      <c r="H1129" s="138">
        <v>2</v>
      </c>
      <c r="I1129" s="129">
        <v>781.7</v>
      </c>
      <c r="J1129" s="129">
        <v>722.5</v>
      </c>
      <c r="K1129" s="129">
        <v>505.6</v>
      </c>
      <c r="L1129" s="140">
        <v>25</v>
      </c>
      <c r="M1129" s="138" t="s">
        <v>271</v>
      </c>
      <c r="N1129" s="138" t="s">
        <v>275</v>
      </c>
      <c r="O1129" s="138" t="s">
        <v>339</v>
      </c>
      <c r="P1129" s="129">
        <v>4839701.7600000007</v>
      </c>
      <c r="Q1129" s="129">
        <v>0</v>
      </c>
      <c r="R1129" s="129">
        <v>0</v>
      </c>
      <c r="S1129" s="129">
        <f>P1129-Q1129-R1129</f>
        <v>4839701.7600000007</v>
      </c>
      <c r="T1129" s="130">
        <f t="shared" si="396"/>
        <v>6191.2520915952418</v>
      </c>
      <c r="U1129" s="130">
        <v>7167.8568399641808</v>
      </c>
      <c r="DJ1129" s="131"/>
      <c r="DK1129" s="131"/>
      <c r="DL1129" s="131"/>
      <c r="DZ1129" s="132"/>
      <c r="EI1129" s="133"/>
      <c r="FL1129" s="134"/>
      <c r="GB1129" s="135"/>
    </row>
    <row r="1130" spans="1:184" s="64" customFormat="1" ht="36" customHeight="1" x14ac:dyDescent="0.9">
      <c r="B1130" s="94" t="s">
        <v>884</v>
      </c>
      <c r="C1130" s="126"/>
      <c r="D1130" s="138" t="s">
        <v>934</v>
      </c>
      <c r="E1130" s="138" t="s">
        <v>934</v>
      </c>
      <c r="F1130" s="138" t="s">
        <v>934</v>
      </c>
      <c r="G1130" s="138" t="s">
        <v>934</v>
      </c>
      <c r="H1130" s="138" t="s">
        <v>934</v>
      </c>
      <c r="I1130" s="129">
        <f>I1131</f>
        <v>736.7</v>
      </c>
      <c r="J1130" s="129">
        <f t="shared" ref="J1130:L1130" si="421">J1131</f>
        <v>736.7</v>
      </c>
      <c r="K1130" s="129">
        <f t="shared" si="421"/>
        <v>450.8</v>
      </c>
      <c r="L1130" s="139">
        <f t="shared" si="421"/>
        <v>42</v>
      </c>
      <c r="M1130" s="138" t="s">
        <v>934</v>
      </c>
      <c r="N1130" s="138" t="s">
        <v>934</v>
      </c>
      <c r="O1130" s="136" t="s">
        <v>934</v>
      </c>
      <c r="P1130" s="130">
        <v>3231458.3</v>
      </c>
      <c r="Q1130" s="130">
        <f t="shared" ref="Q1130:S1130" si="422">Q1131</f>
        <v>0</v>
      </c>
      <c r="R1130" s="130">
        <f t="shared" si="422"/>
        <v>1851570.68</v>
      </c>
      <c r="S1130" s="130">
        <f t="shared" si="422"/>
        <v>1379887.6199999999</v>
      </c>
      <c r="T1130" s="130">
        <f t="shared" si="396"/>
        <v>4386.3964978960221</v>
      </c>
      <c r="U1130" s="130">
        <f>U1131</f>
        <v>5504.6756725939995</v>
      </c>
    </row>
    <row r="1131" spans="1:184" s="20" customFormat="1" ht="36" customHeight="1" x14ac:dyDescent="0.9">
      <c r="A1131" s="64">
        <v>1</v>
      </c>
      <c r="B1131" s="96">
        <f>SUBTOTAL(103,$A$923:A1131)</f>
        <v>174</v>
      </c>
      <c r="C1131" s="128" t="s">
        <v>66</v>
      </c>
      <c r="D1131" s="138">
        <v>1978</v>
      </c>
      <c r="E1131" s="138"/>
      <c r="F1131" s="169" t="s">
        <v>273</v>
      </c>
      <c r="G1131" s="138">
        <v>2</v>
      </c>
      <c r="H1131" s="138">
        <v>2</v>
      </c>
      <c r="I1131" s="129">
        <v>736.7</v>
      </c>
      <c r="J1131" s="129">
        <v>736.7</v>
      </c>
      <c r="K1131" s="129">
        <v>450.8</v>
      </c>
      <c r="L1131" s="140">
        <v>42</v>
      </c>
      <c r="M1131" s="138" t="s">
        <v>271</v>
      </c>
      <c r="N1131" s="138" t="s">
        <v>272</v>
      </c>
      <c r="O1131" s="138" t="s">
        <v>274</v>
      </c>
      <c r="P1131" s="129">
        <v>3231458.3</v>
      </c>
      <c r="Q1131" s="129">
        <v>0</v>
      </c>
      <c r="R1131" s="129">
        <v>1851570.68</v>
      </c>
      <c r="S1131" s="129">
        <f>P1131-Q1131-R1131</f>
        <v>1379887.6199999999</v>
      </c>
      <c r="T1131" s="130">
        <f t="shared" si="396"/>
        <v>4386.3964978960221</v>
      </c>
      <c r="U1131" s="130">
        <v>5504.6756725939995</v>
      </c>
      <c r="DJ1131" s="131"/>
      <c r="DK1131" s="131"/>
      <c r="DL1131" s="131"/>
      <c r="DZ1131" s="132"/>
      <c r="EI1131" s="133"/>
      <c r="FL1131" s="134"/>
      <c r="GB1131" s="135"/>
    </row>
    <row r="1132" spans="1:184" s="64" customFormat="1" ht="36" customHeight="1" x14ac:dyDescent="0.9">
      <c r="B1132" s="94" t="s">
        <v>886</v>
      </c>
      <c r="C1132" s="94"/>
      <c r="D1132" s="138" t="s">
        <v>934</v>
      </c>
      <c r="E1132" s="138" t="s">
        <v>934</v>
      </c>
      <c r="F1132" s="138" t="s">
        <v>934</v>
      </c>
      <c r="G1132" s="138" t="s">
        <v>934</v>
      </c>
      <c r="H1132" s="138" t="s">
        <v>934</v>
      </c>
      <c r="I1132" s="129">
        <f>SUM(I1133:I1135)</f>
        <v>9352.4</v>
      </c>
      <c r="J1132" s="129">
        <f t="shared" ref="J1132:L1132" si="423">SUM(J1133:J1135)</f>
        <v>9253</v>
      </c>
      <c r="K1132" s="129">
        <f t="shared" si="423"/>
        <v>9002.2999999999993</v>
      </c>
      <c r="L1132" s="139">
        <f t="shared" si="423"/>
        <v>371</v>
      </c>
      <c r="M1132" s="138" t="s">
        <v>934</v>
      </c>
      <c r="N1132" s="138" t="s">
        <v>934</v>
      </c>
      <c r="O1132" s="136" t="s">
        <v>934</v>
      </c>
      <c r="P1132" s="130">
        <v>16849360.93</v>
      </c>
      <c r="Q1132" s="130">
        <f t="shared" ref="Q1132:S1132" si="424">Q1133+Q1134+Q1135</f>
        <v>0</v>
      </c>
      <c r="R1132" s="130">
        <f t="shared" si="424"/>
        <v>0</v>
      </c>
      <c r="S1132" s="130">
        <f t="shared" si="424"/>
        <v>16849360.93</v>
      </c>
      <c r="T1132" s="130">
        <f t="shared" si="396"/>
        <v>1801.6082428039863</v>
      </c>
      <c r="U1132" s="130">
        <f>MAX(U1133:U1135)</f>
        <v>3255.8500000000004</v>
      </c>
    </row>
    <row r="1133" spans="1:184" s="20" customFormat="1" ht="36" customHeight="1" x14ac:dyDescent="0.9">
      <c r="A1133" s="64">
        <v>1</v>
      </c>
      <c r="B1133" s="96">
        <f>SUBTOTAL(103,$A$923:A1133)</f>
        <v>175</v>
      </c>
      <c r="C1133" s="128" t="s">
        <v>69</v>
      </c>
      <c r="D1133" s="138">
        <v>1977</v>
      </c>
      <c r="E1133" s="138"/>
      <c r="F1133" s="169" t="s">
        <v>273</v>
      </c>
      <c r="G1133" s="138">
        <v>5</v>
      </c>
      <c r="H1133" s="138">
        <v>6</v>
      </c>
      <c r="I1133" s="129">
        <v>4338.6000000000004</v>
      </c>
      <c r="J1133" s="129">
        <v>4331.6000000000004</v>
      </c>
      <c r="K1133" s="129">
        <v>4154.6000000000004</v>
      </c>
      <c r="L1133" s="140">
        <v>174</v>
      </c>
      <c r="M1133" s="138" t="s">
        <v>271</v>
      </c>
      <c r="N1133" s="138" t="s">
        <v>275</v>
      </c>
      <c r="O1133" s="138" t="s">
        <v>277</v>
      </c>
      <c r="P1133" s="129">
        <v>5782944.25</v>
      </c>
      <c r="Q1133" s="129">
        <v>0</v>
      </c>
      <c r="R1133" s="129">
        <v>0</v>
      </c>
      <c r="S1133" s="129">
        <f t="shared" ref="S1133:S1135" si="425">P1133-Q1133-R1133</f>
        <v>5782944.25</v>
      </c>
      <c r="T1133" s="130">
        <f t="shared" si="396"/>
        <v>1332.905603189969</v>
      </c>
      <c r="U1133" s="130">
        <v>1459.7390623703498</v>
      </c>
      <c r="DJ1133" s="131"/>
      <c r="DK1133" s="131"/>
      <c r="DL1133" s="131"/>
      <c r="DZ1133" s="132"/>
      <c r="EI1133" s="133"/>
      <c r="FL1133" s="134"/>
      <c r="GB1133" s="135"/>
    </row>
    <row r="1134" spans="1:184" s="20" customFormat="1" ht="36" customHeight="1" x14ac:dyDescent="0.9">
      <c r="A1134" s="64">
        <v>1</v>
      </c>
      <c r="B1134" s="96">
        <f>SUBTOTAL(103,$A$923:A1134)</f>
        <v>176</v>
      </c>
      <c r="C1134" s="128" t="s">
        <v>68</v>
      </c>
      <c r="D1134" s="138">
        <v>1965</v>
      </c>
      <c r="E1134" s="138"/>
      <c r="F1134" s="169" t="s">
        <v>273</v>
      </c>
      <c r="G1134" s="138">
        <v>4</v>
      </c>
      <c r="H1134" s="138">
        <v>4</v>
      </c>
      <c r="I1134" s="129">
        <v>2512.9</v>
      </c>
      <c r="J1134" s="129">
        <v>2463.4</v>
      </c>
      <c r="K1134" s="129">
        <v>2431.4</v>
      </c>
      <c r="L1134" s="140">
        <v>86</v>
      </c>
      <c r="M1134" s="138" t="s">
        <v>271</v>
      </c>
      <c r="N1134" s="138" t="s">
        <v>275</v>
      </c>
      <c r="O1134" s="138" t="s">
        <v>277</v>
      </c>
      <c r="P1134" s="129">
        <v>6823737.3099999996</v>
      </c>
      <c r="Q1134" s="129">
        <v>0</v>
      </c>
      <c r="R1134" s="129">
        <v>0</v>
      </c>
      <c r="S1134" s="129">
        <f t="shared" si="425"/>
        <v>6823737.3099999996</v>
      </c>
      <c r="T1134" s="130">
        <f t="shared" si="396"/>
        <v>2715.4830315571648</v>
      </c>
      <c r="U1134" s="130">
        <v>2980.5087325400932</v>
      </c>
      <c r="DJ1134" s="131"/>
      <c r="DK1134" s="131"/>
      <c r="DL1134" s="131"/>
      <c r="DZ1134" s="132"/>
      <c r="EI1134" s="133"/>
      <c r="FL1134" s="134"/>
      <c r="GB1134" s="135"/>
    </row>
    <row r="1135" spans="1:184" s="20" customFormat="1" ht="36" customHeight="1" x14ac:dyDescent="0.9">
      <c r="A1135" s="64">
        <v>1</v>
      </c>
      <c r="B1135" s="96">
        <f>SUBTOTAL(103,$A$923:A1135)</f>
        <v>177</v>
      </c>
      <c r="C1135" s="128" t="s">
        <v>67</v>
      </c>
      <c r="D1135" s="138">
        <v>1967</v>
      </c>
      <c r="E1135" s="138"/>
      <c r="F1135" s="169" t="s">
        <v>273</v>
      </c>
      <c r="G1135" s="138">
        <v>4</v>
      </c>
      <c r="H1135" s="138">
        <v>4</v>
      </c>
      <c r="I1135" s="129">
        <v>2500.9</v>
      </c>
      <c r="J1135" s="129">
        <v>2458</v>
      </c>
      <c r="K1135" s="129">
        <v>2416.3000000000002</v>
      </c>
      <c r="L1135" s="140">
        <v>111</v>
      </c>
      <c r="M1135" s="138" t="s">
        <v>271</v>
      </c>
      <c r="N1135" s="138" t="s">
        <v>275</v>
      </c>
      <c r="O1135" s="138" t="s">
        <v>277</v>
      </c>
      <c r="P1135" s="129">
        <v>4242679.37</v>
      </c>
      <c r="Q1135" s="129">
        <v>0</v>
      </c>
      <c r="R1135" s="129">
        <v>0</v>
      </c>
      <c r="S1135" s="129">
        <f t="shared" si="425"/>
        <v>4242679.37</v>
      </c>
      <c r="T1135" s="130">
        <f t="shared" si="396"/>
        <v>1696.4610220320685</v>
      </c>
      <c r="U1135" s="130">
        <v>3255.8500000000004</v>
      </c>
      <c r="DJ1135" s="131"/>
      <c r="DK1135" s="131"/>
      <c r="DL1135" s="131"/>
      <c r="DZ1135" s="132"/>
      <c r="EI1135" s="133"/>
      <c r="FL1135" s="134"/>
      <c r="GB1135" s="135"/>
    </row>
    <row r="1136" spans="1:184" s="64" customFormat="1" ht="36" customHeight="1" x14ac:dyDescent="0.9">
      <c r="B1136" s="94" t="s">
        <v>887</v>
      </c>
      <c r="C1136" s="94"/>
      <c r="D1136" s="138" t="s">
        <v>934</v>
      </c>
      <c r="E1136" s="138" t="s">
        <v>934</v>
      </c>
      <c r="F1136" s="138" t="s">
        <v>934</v>
      </c>
      <c r="G1136" s="138" t="s">
        <v>934</v>
      </c>
      <c r="H1136" s="138" t="s">
        <v>934</v>
      </c>
      <c r="I1136" s="129">
        <f>I1137</f>
        <v>2168.41</v>
      </c>
      <c r="J1136" s="129">
        <f t="shared" ref="J1136:L1136" si="426">J1137</f>
        <v>1286.56</v>
      </c>
      <c r="K1136" s="129">
        <f t="shared" si="426"/>
        <v>1251.51</v>
      </c>
      <c r="L1136" s="139">
        <f t="shared" si="426"/>
        <v>62</v>
      </c>
      <c r="M1136" s="138" t="s">
        <v>934</v>
      </c>
      <c r="N1136" s="138" t="s">
        <v>934</v>
      </c>
      <c r="O1136" s="136" t="s">
        <v>934</v>
      </c>
      <c r="P1136" s="130">
        <v>3799734.79</v>
      </c>
      <c r="Q1136" s="130">
        <f t="shared" ref="Q1136:S1136" si="427">Q1137</f>
        <v>0</v>
      </c>
      <c r="R1136" s="130">
        <f t="shared" si="427"/>
        <v>0</v>
      </c>
      <c r="S1136" s="130">
        <f t="shared" si="427"/>
        <v>3799734.79</v>
      </c>
      <c r="T1136" s="130">
        <f t="shared" si="396"/>
        <v>1752.3138105801027</v>
      </c>
      <c r="U1136" s="130">
        <f>U1137</f>
        <v>2489.503779820237</v>
      </c>
    </row>
    <row r="1137" spans="1:184" s="20" customFormat="1" ht="36" customHeight="1" x14ac:dyDescent="0.9">
      <c r="A1137" s="64">
        <v>1</v>
      </c>
      <c r="B1137" s="96">
        <f>SUBTOTAL(103,$A$923:A1137)</f>
        <v>178</v>
      </c>
      <c r="C1137" s="128" t="s">
        <v>65</v>
      </c>
      <c r="D1137" s="138">
        <v>1954</v>
      </c>
      <c r="E1137" s="138"/>
      <c r="F1137" s="169" t="s">
        <v>273</v>
      </c>
      <c r="G1137" s="138">
        <v>3</v>
      </c>
      <c r="H1137" s="138">
        <v>3</v>
      </c>
      <c r="I1137" s="129">
        <v>2168.41</v>
      </c>
      <c r="J1137" s="129">
        <v>1286.56</v>
      </c>
      <c r="K1137" s="129">
        <v>1251.51</v>
      </c>
      <c r="L1137" s="140">
        <v>62</v>
      </c>
      <c r="M1137" s="138" t="s">
        <v>271</v>
      </c>
      <c r="N1137" s="138" t="s">
        <v>275</v>
      </c>
      <c r="O1137" s="138" t="s">
        <v>278</v>
      </c>
      <c r="P1137" s="129">
        <v>3799734.79</v>
      </c>
      <c r="Q1137" s="129">
        <v>0</v>
      </c>
      <c r="R1137" s="129">
        <v>0</v>
      </c>
      <c r="S1137" s="129">
        <f>P1137-Q1137-R1137</f>
        <v>3799734.79</v>
      </c>
      <c r="T1137" s="130">
        <f t="shared" si="396"/>
        <v>1752.3138105801027</v>
      </c>
      <c r="U1137" s="130">
        <v>2489.503779820237</v>
      </c>
      <c r="DJ1137" s="131"/>
      <c r="DK1137" s="131"/>
      <c r="DL1137" s="131"/>
      <c r="DZ1137" s="132"/>
      <c r="EI1137" s="133"/>
      <c r="FL1137" s="134"/>
      <c r="GB1137" s="135"/>
    </row>
    <row r="1138" spans="1:184" s="64" customFormat="1" ht="36" customHeight="1" x14ac:dyDescent="0.9">
      <c r="B1138" s="94" t="s">
        <v>888</v>
      </c>
      <c r="C1138" s="94"/>
      <c r="D1138" s="138" t="s">
        <v>934</v>
      </c>
      <c r="E1138" s="138" t="s">
        <v>934</v>
      </c>
      <c r="F1138" s="138" t="s">
        <v>934</v>
      </c>
      <c r="G1138" s="138" t="s">
        <v>934</v>
      </c>
      <c r="H1138" s="138" t="s">
        <v>934</v>
      </c>
      <c r="I1138" s="129">
        <f>I1139</f>
        <v>780.3</v>
      </c>
      <c r="J1138" s="129">
        <f t="shared" ref="J1138:L1138" si="428">J1139</f>
        <v>720.3</v>
      </c>
      <c r="K1138" s="129">
        <f t="shared" si="428"/>
        <v>720.3</v>
      </c>
      <c r="L1138" s="139">
        <f t="shared" si="428"/>
        <v>24</v>
      </c>
      <c r="M1138" s="138" t="s">
        <v>934</v>
      </c>
      <c r="N1138" s="138" t="s">
        <v>934</v>
      </c>
      <c r="O1138" s="136" t="s">
        <v>934</v>
      </c>
      <c r="P1138" s="130">
        <v>2311215.4500000002</v>
      </c>
      <c r="Q1138" s="130">
        <f t="shared" ref="Q1138:S1138" si="429">Q1139</f>
        <v>0</v>
      </c>
      <c r="R1138" s="130">
        <f t="shared" si="429"/>
        <v>0</v>
      </c>
      <c r="S1138" s="130">
        <f t="shared" si="429"/>
        <v>2311215.4500000002</v>
      </c>
      <c r="T1138" s="130">
        <f t="shared" si="396"/>
        <v>2961.9575163398695</v>
      </c>
      <c r="U1138" s="130">
        <f>U1139</f>
        <v>3641.3766500064085</v>
      </c>
    </row>
    <row r="1139" spans="1:184" s="20" customFormat="1" ht="36" customHeight="1" x14ac:dyDescent="0.9">
      <c r="A1139" s="64">
        <v>1</v>
      </c>
      <c r="B1139" s="96">
        <f>SUBTOTAL(103,$A$923:A1139)</f>
        <v>179</v>
      </c>
      <c r="C1139" s="128" t="s">
        <v>64</v>
      </c>
      <c r="D1139" s="138">
        <v>1964</v>
      </c>
      <c r="E1139" s="138"/>
      <c r="F1139" s="169" t="s">
        <v>273</v>
      </c>
      <c r="G1139" s="138">
        <v>2</v>
      </c>
      <c r="H1139" s="138">
        <v>2</v>
      </c>
      <c r="I1139" s="129">
        <v>780.3</v>
      </c>
      <c r="J1139" s="129">
        <v>720.3</v>
      </c>
      <c r="K1139" s="129">
        <v>720.3</v>
      </c>
      <c r="L1139" s="140">
        <v>24</v>
      </c>
      <c r="M1139" s="138" t="s">
        <v>271</v>
      </c>
      <c r="N1139" s="138" t="s">
        <v>275</v>
      </c>
      <c r="O1139" s="138" t="s">
        <v>279</v>
      </c>
      <c r="P1139" s="129">
        <v>2311215.4500000002</v>
      </c>
      <c r="Q1139" s="129">
        <v>0</v>
      </c>
      <c r="R1139" s="129">
        <v>0</v>
      </c>
      <c r="S1139" s="129">
        <f>P1139-Q1139-R1139</f>
        <v>2311215.4500000002</v>
      </c>
      <c r="T1139" s="130">
        <f t="shared" si="396"/>
        <v>2961.9575163398695</v>
      </c>
      <c r="U1139" s="130">
        <v>3641.3766500064085</v>
      </c>
      <c r="DJ1139" s="131"/>
      <c r="DK1139" s="131"/>
      <c r="DL1139" s="131"/>
      <c r="DZ1139" s="132"/>
      <c r="EI1139" s="133"/>
      <c r="FL1139" s="134"/>
      <c r="GB1139" s="135"/>
    </row>
    <row r="1140" spans="1:184" s="64" customFormat="1" ht="36" customHeight="1" x14ac:dyDescent="0.9">
      <c r="B1140" s="94" t="s">
        <v>927</v>
      </c>
      <c r="C1140" s="94"/>
      <c r="D1140" s="138" t="s">
        <v>934</v>
      </c>
      <c r="E1140" s="138" t="s">
        <v>934</v>
      </c>
      <c r="F1140" s="138" t="s">
        <v>934</v>
      </c>
      <c r="G1140" s="138" t="s">
        <v>934</v>
      </c>
      <c r="H1140" s="138" t="s">
        <v>934</v>
      </c>
      <c r="I1140" s="129">
        <f>I1141</f>
        <v>540.79999999999995</v>
      </c>
      <c r="J1140" s="129">
        <f t="shared" ref="J1140:L1140" si="430">J1141</f>
        <v>281.10000000000002</v>
      </c>
      <c r="K1140" s="129">
        <f t="shared" si="430"/>
        <v>251.8</v>
      </c>
      <c r="L1140" s="139">
        <f t="shared" si="430"/>
        <v>15</v>
      </c>
      <c r="M1140" s="138" t="s">
        <v>934</v>
      </c>
      <c r="N1140" s="138" t="s">
        <v>934</v>
      </c>
      <c r="O1140" s="136" t="s">
        <v>934</v>
      </c>
      <c r="P1140" s="130">
        <v>3215375.5700000003</v>
      </c>
      <c r="Q1140" s="130">
        <f t="shared" ref="Q1140:S1140" si="431">Q1141</f>
        <v>0</v>
      </c>
      <c r="R1140" s="130">
        <f t="shared" si="431"/>
        <v>0</v>
      </c>
      <c r="S1140" s="130">
        <f t="shared" si="431"/>
        <v>3215375.5700000003</v>
      </c>
      <c r="T1140" s="130">
        <f t="shared" si="396"/>
        <v>5945.5909208579897</v>
      </c>
      <c r="U1140" s="130">
        <f>U1141</f>
        <v>6883.4179911242609</v>
      </c>
    </row>
    <row r="1141" spans="1:184" s="20" customFormat="1" ht="36" customHeight="1" x14ac:dyDescent="0.9">
      <c r="A1141" s="64">
        <v>1</v>
      </c>
      <c r="B1141" s="96">
        <f>SUBTOTAL(103,$A$923:A1141)</f>
        <v>180</v>
      </c>
      <c r="C1141" s="128" t="s">
        <v>70</v>
      </c>
      <c r="D1141" s="138">
        <v>1958</v>
      </c>
      <c r="E1141" s="138"/>
      <c r="F1141" s="169" t="s">
        <v>273</v>
      </c>
      <c r="G1141" s="138">
        <v>2</v>
      </c>
      <c r="H1141" s="138">
        <v>2</v>
      </c>
      <c r="I1141" s="129">
        <v>540.79999999999995</v>
      </c>
      <c r="J1141" s="129">
        <v>281.10000000000002</v>
      </c>
      <c r="K1141" s="129">
        <v>251.8</v>
      </c>
      <c r="L1141" s="140">
        <v>15</v>
      </c>
      <c r="M1141" s="138" t="s">
        <v>271</v>
      </c>
      <c r="N1141" s="138" t="s">
        <v>272</v>
      </c>
      <c r="O1141" s="138" t="s">
        <v>274</v>
      </c>
      <c r="P1141" s="129">
        <v>3215375.5700000003</v>
      </c>
      <c r="Q1141" s="129">
        <v>0</v>
      </c>
      <c r="R1141" s="129">
        <v>0</v>
      </c>
      <c r="S1141" s="129">
        <f>P1141-Q1141-R1141</f>
        <v>3215375.5700000003</v>
      </c>
      <c r="T1141" s="130">
        <f t="shared" si="396"/>
        <v>5945.5909208579897</v>
      </c>
      <c r="U1141" s="130">
        <v>6883.4179911242609</v>
      </c>
      <c r="DJ1141" s="131"/>
      <c r="DK1141" s="131"/>
      <c r="DL1141" s="131"/>
      <c r="DZ1141" s="132"/>
      <c r="EI1141" s="133"/>
      <c r="FL1141" s="134"/>
      <c r="GB1141" s="135"/>
    </row>
    <row r="1142" spans="1:184" s="64" customFormat="1" ht="36" customHeight="1" x14ac:dyDescent="0.9">
      <c r="B1142" s="94" t="s">
        <v>889</v>
      </c>
      <c r="C1142" s="94"/>
      <c r="D1142" s="138" t="s">
        <v>934</v>
      </c>
      <c r="E1142" s="138" t="s">
        <v>934</v>
      </c>
      <c r="F1142" s="138" t="s">
        <v>934</v>
      </c>
      <c r="G1142" s="138" t="s">
        <v>934</v>
      </c>
      <c r="H1142" s="138" t="s">
        <v>934</v>
      </c>
      <c r="I1142" s="129">
        <f>SUM(I1143:I1145)</f>
        <v>2550.6999999999998</v>
      </c>
      <c r="J1142" s="129">
        <f t="shared" ref="J1142:L1142" si="432">SUM(J1143:J1145)</f>
        <v>2342.9800000000005</v>
      </c>
      <c r="K1142" s="129">
        <f t="shared" si="432"/>
        <v>2272.58</v>
      </c>
      <c r="L1142" s="139">
        <f t="shared" si="432"/>
        <v>119</v>
      </c>
      <c r="M1142" s="138" t="s">
        <v>934</v>
      </c>
      <c r="N1142" s="138" t="s">
        <v>934</v>
      </c>
      <c r="O1142" s="136" t="s">
        <v>934</v>
      </c>
      <c r="P1142" s="130">
        <v>10672314.84</v>
      </c>
      <c r="Q1142" s="130">
        <f t="shared" ref="Q1142:S1142" si="433">Q1143+Q1144+Q1145</f>
        <v>0</v>
      </c>
      <c r="R1142" s="130">
        <f t="shared" si="433"/>
        <v>0</v>
      </c>
      <c r="S1142" s="130">
        <f t="shared" si="433"/>
        <v>10672314.84</v>
      </c>
      <c r="T1142" s="130">
        <f t="shared" si="396"/>
        <v>4184.0729368408674</v>
      </c>
      <c r="U1142" s="130">
        <f>MAX(U1143:U1145)</f>
        <v>5858.487010309279</v>
      </c>
    </row>
    <row r="1143" spans="1:184" s="20" customFormat="1" ht="36" customHeight="1" x14ac:dyDescent="0.9">
      <c r="A1143" s="64">
        <v>1</v>
      </c>
      <c r="B1143" s="96">
        <f>SUBTOTAL(103,$A$923:A1143)</f>
        <v>181</v>
      </c>
      <c r="C1143" s="128" t="s">
        <v>71</v>
      </c>
      <c r="D1143" s="138">
        <v>1979</v>
      </c>
      <c r="E1143" s="138"/>
      <c r="F1143" s="169" t="s">
        <v>273</v>
      </c>
      <c r="G1143" s="138">
        <v>3</v>
      </c>
      <c r="H1143" s="138">
        <v>2</v>
      </c>
      <c r="I1143" s="129">
        <v>850.1</v>
      </c>
      <c r="J1143" s="129">
        <v>757.1</v>
      </c>
      <c r="K1143" s="129">
        <v>745</v>
      </c>
      <c r="L1143" s="140">
        <v>29</v>
      </c>
      <c r="M1143" s="138" t="s">
        <v>271</v>
      </c>
      <c r="N1143" s="138" t="s">
        <v>272</v>
      </c>
      <c r="O1143" s="138" t="s">
        <v>274</v>
      </c>
      <c r="P1143" s="129">
        <v>2391584.4</v>
      </c>
      <c r="Q1143" s="129">
        <v>0</v>
      </c>
      <c r="R1143" s="129">
        <v>0</v>
      </c>
      <c r="S1143" s="129">
        <f t="shared" ref="S1143:S1145" si="434">P1143-Q1143-R1143</f>
        <v>2391584.4</v>
      </c>
      <c r="T1143" s="130">
        <f t="shared" si="396"/>
        <v>2813.2977296788613</v>
      </c>
      <c r="U1143" s="130">
        <v>3257.0529114221858</v>
      </c>
      <c r="DJ1143" s="131"/>
      <c r="DK1143" s="131"/>
      <c r="DL1143" s="131"/>
      <c r="DZ1143" s="132"/>
      <c r="EI1143" s="133"/>
      <c r="FL1143" s="134"/>
      <c r="GB1143" s="135"/>
    </row>
    <row r="1144" spans="1:184" s="20" customFormat="1" ht="36" customHeight="1" x14ac:dyDescent="0.9">
      <c r="A1144" s="64">
        <v>1</v>
      </c>
      <c r="B1144" s="96">
        <f>SUBTOTAL(103,$A$923:A1144)</f>
        <v>182</v>
      </c>
      <c r="C1144" s="128" t="s">
        <v>72</v>
      </c>
      <c r="D1144" s="138">
        <v>1980</v>
      </c>
      <c r="E1144" s="138"/>
      <c r="F1144" s="169" t="s">
        <v>273</v>
      </c>
      <c r="G1144" s="138">
        <v>2</v>
      </c>
      <c r="H1144" s="138">
        <v>2</v>
      </c>
      <c r="I1144" s="129">
        <v>970</v>
      </c>
      <c r="J1144" s="129">
        <v>885.2</v>
      </c>
      <c r="K1144" s="129">
        <v>826.90000000000009</v>
      </c>
      <c r="L1144" s="140">
        <v>60</v>
      </c>
      <c r="M1144" s="138" t="s">
        <v>271</v>
      </c>
      <c r="N1144" s="138" t="s">
        <v>272</v>
      </c>
      <c r="O1144" s="138" t="s">
        <v>274</v>
      </c>
      <c r="P1144" s="129">
        <v>4908492</v>
      </c>
      <c r="Q1144" s="129">
        <v>0</v>
      </c>
      <c r="R1144" s="129">
        <v>0</v>
      </c>
      <c r="S1144" s="129">
        <f t="shared" si="434"/>
        <v>4908492</v>
      </c>
      <c r="T1144" s="130">
        <f t="shared" si="396"/>
        <v>5060.3010309278352</v>
      </c>
      <c r="U1144" s="130">
        <v>5858.487010309279</v>
      </c>
      <c r="DJ1144" s="131"/>
      <c r="DK1144" s="131"/>
      <c r="DL1144" s="131"/>
      <c r="DZ1144" s="132"/>
      <c r="EI1144" s="133"/>
      <c r="FL1144" s="134"/>
      <c r="GB1144" s="135"/>
    </row>
    <row r="1145" spans="1:184" s="20" customFormat="1" ht="36" customHeight="1" x14ac:dyDescent="0.9">
      <c r="A1145" s="64">
        <v>1</v>
      </c>
      <c r="B1145" s="96">
        <f>SUBTOTAL(103,$A$923:A1145)</f>
        <v>183</v>
      </c>
      <c r="C1145" s="128" t="s">
        <v>73</v>
      </c>
      <c r="D1145" s="138">
        <v>1969</v>
      </c>
      <c r="E1145" s="138"/>
      <c r="F1145" s="169" t="s">
        <v>273</v>
      </c>
      <c r="G1145" s="138">
        <v>2</v>
      </c>
      <c r="H1145" s="138">
        <v>2</v>
      </c>
      <c r="I1145" s="129">
        <v>730.6</v>
      </c>
      <c r="J1145" s="129">
        <v>700.68000000000006</v>
      </c>
      <c r="K1145" s="129">
        <v>700.68</v>
      </c>
      <c r="L1145" s="140">
        <v>30</v>
      </c>
      <c r="M1145" s="138" t="s">
        <v>271</v>
      </c>
      <c r="N1145" s="138" t="s">
        <v>272</v>
      </c>
      <c r="O1145" s="138" t="s">
        <v>274</v>
      </c>
      <c r="P1145" s="129">
        <v>3372238.44</v>
      </c>
      <c r="Q1145" s="129">
        <v>0</v>
      </c>
      <c r="R1145" s="129">
        <v>0</v>
      </c>
      <c r="S1145" s="129">
        <f t="shared" si="434"/>
        <v>3372238.44</v>
      </c>
      <c r="T1145" s="130">
        <f t="shared" si="396"/>
        <v>4615.710977278949</v>
      </c>
      <c r="U1145" s="130">
        <v>5343.769597591021</v>
      </c>
      <c r="DJ1145" s="131"/>
      <c r="DK1145" s="131"/>
      <c r="DL1145" s="131"/>
      <c r="DZ1145" s="132"/>
      <c r="EI1145" s="133"/>
      <c r="FL1145" s="134"/>
      <c r="GB1145" s="135"/>
    </row>
    <row r="1146" spans="1:184" s="64" customFormat="1" ht="36" customHeight="1" x14ac:dyDescent="0.9">
      <c r="B1146" s="94" t="s">
        <v>885</v>
      </c>
      <c r="C1146" s="94"/>
      <c r="D1146" s="138" t="s">
        <v>934</v>
      </c>
      <c r="E1146" s="138" t="s">
        <v>934</v>
      </c>
      <c r="F1146" s="138" t="s">
        <v>934</v>
      </c>
      <c r="G1146" s="138" t="s">
        <v>934</v>
      </c>
      <c r="H1146" s="138" t="s">
        <v>934</v>
      </c>
      <c r="I1146" s="129">
        <f>I1147</f>
        <v>5523</v>
      </c>
      <c r="J1146" s="129">
        <f t="shared" ref="J1146:L1146" si="435">J1147</f>
        <v>4105.6000000000004</v>
      </c>
      <c r="K1146" s="129">
        <f t="shared" si="435"/>
        <v>2967.3500000000004</v>
      </c>
      <c r="L1146" s="139">
        <f t="shared" si="435"/>
        <v>208</v>
      </c>
      <c r="M1146" s="138" t="s">
        <v>934</v>
      </c>
      <c r="N1146" s="138" t="s">
        <v>934</v>
      </c>
      <c r="O1146" s="136" t="s">
        <v>934</v>
      </c>
      <c r="P1146" s="130">
        <v>3912770.8299999996</v>
      </c>
      <c r="Q1146" s="130">
        <f t="shared" ref="Q1146:S1146" si="436">Q1147</f>
        <v>0</v>
      </c>
      <c r="R1146" s="130">
        <f t="shared" si="436"/>
        <v>0</v>
      </c>
      <c r="S1146" s="130">
        <f t="shared" si="436"/>
        <v>3912770.8299999996</v>
      </c>
      <c r="T1146" s="130">
        <f t="shared" si="396"/>
        <v>708.45026797030596</v>
      </c>
      <c r="U1146" s="130">
        <f>U1147</f>
        <v>1444.8682237914177</v>
      </c>
    </row>
    <row r="1147" spans="1:184" s="20" customFormat="1" ht="36" customHeight="1" x14ac:dyDescent="0.9">
      <c r="A1147" s="64">
        <v>1</v>
      </c>
      <c r="B1147" s="96">
        <f>SUBTOTAL(103,$A$923:A1147)</f>
        <v>184</v>
      </c>
      <c r="C1147" s="128" t="s">
        <v>1663</v>
      </c>
      <c r="D1147" s="138">
        <v>1979</v>
      </c>
      <c r="E1147" s="138"/>
      <c r="F1147" s="169" t="s">
        <v>1674</v>
      </c>
      <c r="G1147" s="138">
        <v>5</v>
      </c>
      <c r="H1147" s="138">
        <v>6</v>
      </c>
      <c r="I1147" s="129">
        <v>5523</v>
      </c>
      <c r="J1147" s="129">
        <v>4105.6000000000004</v>
      </c>
      <c r="K1147" s="129">
        <f>3015.05-47.7</f>
        <v>2967.3500000000004</v>
      </c>
      <c r="L1147" s="140">
        <v>208</v>
      </c>
      <c r="M1147" s="138" t="s">
        <v>271</v>
      </c>
      <c r="N1147" s="138" t="s">
        <v>275</v>
      </c>
      <c r="O1147" s="138" t="s">
        <v>1625</v>
      </c>
      <c r="P1147" s="129">
        <v>3912770.8299999996</v>
      </c>
      <c r="Q1147" s="129">
        <v>0</v>
      </c>
      <c r="R1147" s="129">
        <v>0</v>
      </c>
      <c r="S1147" s="129">
        <f>P1147-Q1147-R1147</f>
        <v>3912770.8299999996</v>
      </c>
      <c r="T1147" s="130">
        <f t="shared" si="396"/>
        <v>708.45026797030596</v>
      </c>
      <c r="U1147" s="130">
        <v>1444.8682237914177</v>
      </c>
      <c r="DJ1147" s="131"/>
      <c r="DK1147" s="131"/>
      <c r="DL1147" s="131"/>
      <c r="DZ1147" s="132"/>
      <c r="EI1147" s="133"/>
      <c r="FL1147" s="134"/>
      <c r="GB1147" s="135"/>
    </row>
    <row r="1148" spans="1:184" s="64" customFormat="1" ht="36" customHeight="1" x14ac:dyDescent="0.9">
      <c r="B1148" s="94" t="s">
        <v>890</v>
      </c>
      <c r="C1148" s="126"/>
      <c r="D1148" s="138" t="s">
        <v>934</v>
      </c>
      <c r="E1148" s="138" t="s">
        <v>934</v>
      </c>
      <c r="F1148" s="138" t="s">
        <v>934</v>
      </c>
      <c r="G1148" s="138" t="s">
        <v>934</v>
      </c>
      <c r="H1148" s="138" t="s">
        <v>934</v>
      </c>
      <c r="I1148" s="129">
        <f>I1149</f>
        <v>1046.8</v>
      </c>
      <c r="J1148" s="129">
        <f t="shared" ref="J1148:L1148" si="437">J1149</f>
        <v>929.5</v>
      </c>
      <c r="K1148" s="129">
        <f t="shared" si="437"/>
        <v>929.5</v>
      </c>
      <c r="L1148" s="139">
        <f t="shared" si="437"/>
        <v>44</v>
      </c>
      <c r="M1148" s="138" t="s">
        <v>934</v>
      </c>
      <c r="N1148" s="138" t="s">
        <v>934</v>
      </c>
      <c r="O1148" s="136" t="s">
        <v>934</v>
      </c>
      <c r="P1148" s="130">
        <v>4804056</v>
      </c>
      <c r="Q1148" s="130">
        <f t="shared" ref="Q1148:S1148" si="438">Q1149</f>
        <v>0</v>
      </c>
      <c r="R1148" s="130">
        <f t="shared" si="438"/>
        <v>0</v>
      </c>
      <c r="S1148" s="130">
        <f t="shared" si="438"/>
        <v>4804056</v>
      </c>
      <c r="T1148" s="130">
        <f t="shared" si="396"/>
        <v>4589.277799006496</v>
      </c>
      <c r="U1148" s="130">
        <f>U1149</f>
        <v>5342.0428926251434</v>
      </c>
    </row>
    <row r="1149" spans="1:184" s="20" customFormat="1" ht="36" customHeight="1" x14ac:dyDescent="0.9">
      <c r="A1149" s="64">
        <v>1</v>
      </c>
      <c r="B1149" s="96">
        <f>SUBTOTAL(103,$A$923:A1149)</f>
        <v>185</v>
      </c>
      <c r="C1149" s="128" t="s">
        <v>231</v>
      </c>
      <c r="D1149" s="138">
        <v>1994</v>
      </c>
      <c r="E1149" s="138"/>
      <c r="F1149" s="169" t="s">
        <v>273</v>
      </c>
      <c r="G1149" s="138">
        <v>2</v>
      </c>
      <c r="H1149" s="138">
        <v>2</v>
      </c>
      <c r="I1149" s="129">
        <v>1046.8</v>
      </c>
      <c r="J1149" s="129">
        <v>929.5</v>
      </c>
      <c r="K1149" s="129">
        <v>929.5</v>
      </c>
      <c r="L1149" s="140">
        <v>44</v>
      </c>
      <c r="M1149" s="138" t="s">
        <v>271</v>
      </c>
      <c r="N1149" s="138" t="s">
        <v>275</v>
      </c>
      <c r="O1149" s="138" t="s">
        <v>744</v>
      </c>
      <c r="P1149" s="129">
        <v>4804056</v>
      </c>
      <c r="Q1149" s="129">
        <v>0</v>
      </c>
      <c r="R1149" s="129">
        <v>0</v>
      </c>
      <c r="S1149" s="129">
        <f>P1149-Q1149-R1149</f>
        <v>4804056</v>
      </c>
      <c r="T1149" s="130">
        <f t="shared" si="396"/>
        <v>4589.277799006496</v>
      </c>
      <c r="U1149" s="130">
        <v>5342.0428926251434</v>
      </c>
      <c r="DJ1149" s="131"/>
      <c r="DK1149" s="131"/>
      <c r="DL1149" s="131"/>
      <c r="DZ1149" s="132"/>
      <c r="EI1149" s="133"/>
      <c r="FL1149" s="134"/>
      <c r="GB1149" s="135"/>
    </row>
    <row r="1150" spans="1:184" s="64" customFormat="1" ht="36" customHeight="1" x14ac:dyDescent="0.9">
      <c r="B1150" s="94" t="s">
        <v>926</v>
      </c>
      <c r="C1150" s="126"/>
      <c r="D1150" s="138" t="s">
        <v>934</v>
      </c>
      <c r="E1150" s="138" t="s">
        <v>934</v>
      </c>
      <c r="F1150" s="138" t="s">
        <v>934</v>
      </c>
      <c r="G1150" s="138" t="s">
        <v>934</v>
      </c>
      <c r="H1150" s="138" t="s">
        <v>934</v>
      </c>
      <c r="I1150" s="129">
        <f>I1151</f>
        <v>3554.5</v>
      </c>
      <c r="J1150" s="129">
        <f t="shared" ref="J1150:L1150" si="439">J1151</f>
        <v>3290.7</v>
      </c>
      <c r="K1150" s="129">
        <f t="shared" si="439"/>
        <v>3220.4</v>
      </c>
      <c r="L1150" s="139">
        <f t="shared" si="439"/>
        <v>145</v>
      </c>
      <c r="M1150" s="138" t="s">
        <v>934</v>
      </c>
      <c r="N1150" s="138" t="s">
        <v>934</v>
      </c>
      <c r="O1150" s="136" t="s">
        <v>934</v>
      </c>
      <c r="P1150" s="130">
        <v>7284801.9000000004</v>
      </c>
      <c r="Q1150" s="130">
        <f t="shared" ref="Q1150:S1150" si="440">Q1151</f>
        <v>0</v>
      </c>
      <c r="R1150" s="130">
        <f t="shared" si="440"/>
        <v>0</v>
      </c>
      <c r="S1150" s="130">
        <f t="shared" si="440"/>
        <v>7284801.9000000004</v>
      </c>
      <c r="T1150" s="130">
        <f t="shared" si="396"/>
        <v>2049.4589675059783</v>
      </c>
      <c r="U1150" s="130">
        <f>U1151</f>
        <v>2553.7490693152226</v>
      </c>
    </row>
    <row r="1151" spans="1:184" s="20" customFormat="1" ht="36" customHeight="1" x14ac:dyDescent="0.9">
      <c r="A1151" s="64">
        <v>1</v>
      </c>
      <c r="B1151" s="96">
        <f>SUBTOTAL(103,$A$923:A1151)</f>
        <v>186</v>
      </c>
      <c r="C1151" s="128" t="s">
        <v>162</v>
      </c>
      <c r="D1151" s="138">
        <v>1987</v>
      </c>
      <c r="E1151" s="138"/>
      <c r="F1151" s="169" t="s">
        <v>293</v>
      </c>
      <c r="G1151" s="138">
        <v>3</v>
      </c>
      <c r="H1151" s="138">
        <v>7</v>
      </c>
      <c r="I1151" s="129">
        <v>3554.5</v>
      </c>
      <c r="J1151" s="129">
        <v>3290.7</v>
      </c>
      <c r="K1151" s="129">
        <v>3220.4</v>
      </c>
      <c r="L1151" s="140">
        <v>145</v>
      </c>
      <c r="M1151" s="138" t="s">
        <v>271</v>
      </c>
      <c r="N1151" s="138" t="s">
        <v>275</v>
      </c>
      <c r="O1151" s="138" t="s">
        <v>1055</v>
      </c>
      <c r="P1151" s="129">
        <v>7284801.9000000004</v>
      </c>
      <c r="Q1151" s="129">
        <v>0</v>
      </c>
      <c r="R1151" s="129">
        <v>0</v>
      </c>
      <c r="S1151" s="129">
        <f>P1151-Q1151-R1151</f>
        <v>7284801.9000000004</v>
      </c>
      <c r="T1151" s="130">
        <f t="shared" si="396"/>
        <v>2049.4589675059783</v>
      </c>
      <c r="U1151" s="130">
        <v>2553.7490693152226</v>
      </c>
      <c r="DJ1151" s="131"/>
      <c r="DK1151" s="131"/>
      <c r="DL1151" s="131"/>
      <c r="DZ1151" s="132"/>
      <c r="EI1151" s="133"/>
      <c r="FL1151" s="134"/>
      <c r="GB1151" s="135"/>
    </row>
    <row r="1152" spans="1:184" s="64" customFormat="1" ht="36" customHeight="1" x14ac:dyDescent="0.9">
      <c r="B1152" s="94" t="s">
        <v>921</v>
      </c>
      <c r="C1152" s="94"/>
      <c r="D1152" s="138" t="s">
        <v>934</v>
      </c>
      <c r="E1152" s="138" t="s">
        <v>934</v>
      </c>
      <c r="F1152" s="138" t="s">
        <v>934</v>
      </c>
      <c r="G1152" s="138" t="s">
        <v>934</v>
      </c>
      <c r="H1152" s="138" t="s">
        <v>934</v>
      </c>
      <c r="I1152" s="129">
        <f>SUM(I1153:I1154)</f>
        <v>2640.94</v>
      </c>
      <c r="J1152" s="129">
        <f t="shared" ref="J1152:L1152" si="441">SUM(J1153:J1154)</f>
        <v>1584.6</v>
      </c>
      <c r="K1152" s="129">
        <f t="shared" si="441"/>
        <v>1443.9</v>
      </c>
      <c r="L1152" s="139">
        <f t="shared" si="441"/>
        <v>88</v>
      </c>
      <c r="M1152" s="138" t="s">
        <v>934</v>
      </c>
      <c r="N1152" s="138" t="s">
        <v>934</v>
      </c>
      <c r="O1152" s="136" t="s">
        <v>934</v>
      </c>
      <c r="P1152" s="130">
        <v>4011881.02</v>
      </c>
      <c r="Q1152" s="130">
        <f t="shared" ref="Q1152:S1152" si="442">Q1153+Q1154</f>
        <v>0</v>
      </c>
      <c r="R1152" s="130">
        <f t="shared" si="442"/>
        <v>0</v>
      </c>
      <c r="S1152" s="130">
        <f t="shared" si="442"/>
        <v>4011881.02</v>
      </c>
      <c r="T1152" s="130">
        <f t="shared" si="396"/>
        <v>1519.1110059297068</v>
      </c>
      <c r="U1152" s="130">
        <f>MAX(U1153:U1154)</f>
        <v>3280.0831733746131</v>
      </c>
    </row>
    <row r="1153" spans="1:184" s="20" customFormat="1" ht="36" customHeight="1" x14ac:dyDescent="0.9">
      <c r="A1153" s="64">
        <v>1</v>
      </c>
      <c r="B1153" s="96">
        <f>SUBTOTAL(103,$A$923:A1153)</f>
        <v>187</v>
      </c>
      <c r="C1153" s="128" t="s">
        <v>168</v>
      </c>
      <c r="D1153" s="138">
        <v>1978</v>
      </c>
      <c r="E1153" s="138"/>
      <c r="F1153" s="169" t="s">
        <v>273</v>
      </c>
      <c r="G1153" s="138">
        <v>2</v>
      </c>
      <c r="H1153" s="138">
        <v>2</v>
      </c>
      <c r="I1153" s="129">
        <v>1219.74</v>
      </c>
      <c r="J1153" s="129">
        <v>712.8</v>
      </c>
      <c r="K1153" s="129">
        <v>712.8</v>
      </c>
      <c r="L1153" s="140">
        <v>41</v>
      </c>
      <c r="M1153" s="138" t="s">
        <v>271</v>
      </c>
      <c r="N1153" s="138" t="s">
        <v>275</v>
      </c>
      <c r="O1153" s="138" t="s">
        <v>1055</v>
      </c>
      <c r="P1153" s="129">
        <v>329863.09999999998</v>
      </c>
      <c r="Q1153" s="129">
        <v>0</v>
      </c>
      <c r="R1153" s="129">
        <v>0</v>
      </c>
      <c r="S1153" s="129">
        <f t="shared" ref="S1153:S1154" si="443">P1153-Q1153-R1153</f>
        <v>329863.09999999998</v>
      </c>
      <c r="T1153" s="130">
        <f t="shared" si="396"/>
        <v>270.43722432649577</v>
      </c>
      <c r="U1153" s="130">
        <v>577.52703035073057</v>
      </c>
      <c r="DJ1153" s="131"/>
      <c r="DK1153" s="131"/>
      <c r="DL1153" s="131"/>
      <c r="DZ1153" s="132"/>
      <c r="EI1153" s="133"/>
      <c r="FL1153" s="134"/>
      <c r="GB1153" s="135"/>
    </row>
    <row r="1154" spans="1:184" s="20" customFormat="1" ht="36" customHeight="1" x14ac:dyDescent="0.9">
      <c r="A1154" s="64">
        <v>1</v>
      </c>
      <c r="B1154" s="96">
        <f>SUBTOTAL(103,$A$923:A1154)</f>
        <v>188</v>
      </c>
      <c r="C1154" s="128" t="s">
        <v>169</v>
      </c>
      <c r="D1154" s="138">
        <v>1989</v>
      </c>
      <c r="E1154" s="138"/>
      <c r="F1154" s="169" t="s">
        <v>273</v>
      </c>
      <c r="G1154" s="138">
        <v>2</v>
      </c>
      <c r="H1154" s="138">
        <v>3</v>
      </c>
      <c r="I1154" s="129">
        <v>1421.2</v>
      </c>
      <c r="J1154" s="129">
        <v>871.8</v>
      </c>
      <c r="K1154" s="129">
        <v>731.1</v>
      </c>
      <c r="L1154" s="140">
        <v>47</v>
      </c>
      <c r="M1154" s="138" t="s">
        <v>271</v>
      </c>
      <c r="N1154" s="138" t="s">
        <v>275</v>
      </c>
      <c r="O1154" s="138" t="s">
        <v>1055</v>
      </c>
      <c r="P1154" s="129">
        <v>3682017.92</v>
      </c>
      <c r="Q1154" s="129">
        <v>0</v>
      </c>
      <c r="R1154" s="129">
        <v>0</v>
      </c>
      <c r="S1154" s="129">
        <f t="shared" si="443"/>
        <v>3682017.92</v>
      </c>
      <c r="T1154" s="130">
        <f t="shared" si="396"/>
        <v>2590.7809738249366</v>
      </c>
      <c r="U1154" s="130">
        <v>3280.0831733746131</v>
      </c>
      <c r="DJ1154" s="131"/>
      <c r="DK1154" s="131"/>
      <c r="DL1154" s="131"/>
      <c r="DZ1154" s="132"/>
      <c r="EI1154" s="133"/>
      <c r="FL1154" s="134"/>
      <c r="GB1154" s="135"/>
    </row>
    <row r="1155" spans="1:184" s="64" customFormat="1" ht="36" customHeight="1" x14ac:dyDescent="0.9">
      <c r="B1155" s="94" t="s">
        <v>894</v>
      </c>
      <c r="C1155" s="94"/>
      <c r="D1155" s="138" t="s">
        <v>934</v>
      </c>
      <c r="E1155" s="138" t="s">
        <v>934</v>
      </c>
      <c r="F1155" s="138" t="s">
        <v>934</v>
      </c>
      <c r="G1155" s="138" t="s">
        <v>934</v>
      </c>
      <c r="H1155" s="138" t="s">
        <v>934</v>
      </c>
      <c r="I1155" s="129">
        <f>I1156+I1157</f>
        <v>4173.3999999999996</v>
      </c>
      <c r="J1155" s="129">
        <f t="shared" ref="J1155:L1155" si="444">J1156+J1157</f>
        <v>3874.5</v>
      </c>
      <c r="K1155" s="129">
        <f t="shared" si="444"/>
        <v>3773.7999999999997</v>
      </c>
      <c r="L1155" s="139">
        <f t="shared" si="444"/>
        <v>171</v>
      </c>
      <c r="M1155" s="138" t="s">
        <v>934</v>
      </c>
      <c r="N1155" s="138" t="s">
        <v>934</v>
      </c>
      <c r="O1155" s="136" t="s">
        <v>934</v>
      </c>
      <c r="P1155" s="130">
        <v>6026117.5699999994</v>
      </c>
      <c r="Q1155" s="130">
        <f t="shared" ref="Q1155:S1155" si="445">Q1156+Q1157</f>
        <v>0</v>
      </c>
      <c r="R1155" s="130">
        <f t="shared" si="445"/>
        <v>0</v>
      </c>
      <c r="S1155" s="130">
        <f t="shared" si="445"/>
        <v>6026117.5699999994</v>
      </c>
      <c r="T1155" s="130">
        <f t="shared" si="396"/>
        <v>1443.9348181338955</v>
      </c>
      <c r="U1155" s="130">
        <f>MAX(U1156:U1157)</f>
        <v>6221.2207875155891</v>
      </c>
    </row>
    <row r="1156" spans="1:184" s="20" customFormat="1" ht="36" customHeight="1" x14ac:dyDescent="0.9">
      <c r="A1156" s="64">
        <v>1</v>
      </c>
      <c r="B1156" s="96">
        <f>SUBTOTAL(103,$A$923:A1156)</f>
        <v>189</v>
      </c>
      <c r="C1156" s="128" t="s">
        <v>167</v>
      </c>
      <c r="D1156" s="138">
        <v>1971</v>
      </c>
      <c r="E1156" s="138"/>
      <c r="F1156" s="169" t="s">
        <v>293</v>
      </c>
      <c r="G1156" s="138">
        <v>5</v>
      </c>
      <c r="H1156" s="138">
        <v>4</v>
      </c>
      <c r="I1156" s="129">
        <v>3868.7</v>
      </c>
      <c r="J1156" s="129">
        <v>3593.8</v>
      </c>
      <c r="K1156" s="129">
        <v>3493.1</v>
      </c>
      <c r="L1156" s="140">
        <v>160</v>
      </c>
      <c r="M1156" s="138" t="s">
        <v>271</v>
      </c>
      <c r="N1156" s="138" t="s">
        <v>303</v>
      </c>
      <c r="O1156" s="138" t="s">
        <v>304</v>
      </c>
      <c r="P1156" s="129">
        <v>4388776.2699999996</v>
      </c>
      <c r="Q1156" s="129">
        <v>0</v>
      </c>
      <c r="R1156" s="129">
        <v>0</v>
      </c>
      <c r="S1156" s="129">
        <f t="shared" ref="S1156:S1157" si="446">P1156-Q1156-R1156</f>
        <v>4388776.2699999996</v>
      </c>
      <c r="T1156" s="130">
        <f t="shared" si="396"/>
        <v>1134.4317910409181</v>
      </c>
      <c r="U1156" s="130">
        <v>1372.6399214206324</v>
      </c>
      <c r="DJ1156" s="131"/>
      <c r="DK1156" s="131"/>
      <c r="DL1156" s="131"/>
      <c r="DZ1156" s="132"/>
      <c r="EI1156" s="133"/>
      <c r="FL1156" s="134"/>
      <c r="GB1156" s="135"/>
    </row>
    <row r="1157" spans="1:184" s="20" customFormat="1" ht="36" customHeight="1" x14ac:dyDescent="0.9">
      <c r="A1157" s="64">
        <v>1</v>
      </c>
      <c r="B1157" s="96">
        <f>SUBTOTAL(103,$A$923:A1157)</f>
        <v>190</v>
      </c>
      <c r="C1157" s="128" t="s">
        <v>166</v>
      </c>
      <c r="D1157" s="138">
        <v>1964</v>
      </c>
      <c r="E1157" s="138"/>
      <c r="F1157" s="169" t="s">
        <v>273</v>
      </c>
      <c r="G1157" s="138">
        <v>2</v>
      </c>
      <c r="H1157" s="138">
        <v>1</v>
      </c>
      <c r="I1157" s="129">
        <v>304.7</v>
      </c>
      <c r="J1157" s="129">
        <v>280.7</v>
      </c>
      <c r="K1157" s="129">
        <v>280.7</v>
      </c>
      <c r="L1157" s="140">
        <v>11</v>
      </c>
      <c r="M1157" s="138" t="s">
        <v>271</v>
      </c>
      <c r="N1157" s="138" t="s">
        <v>275</v>
      </c>
      <c r="O1157" s="138" t="s">
        <v>295</v>
      </c>
      <c r="P1157" s="129">
        <v>1637341.3</v>
      </c>
      <c r="Q1157" s="129">
        <v>0</v>
      </c>
      <c r="R1157" s="129">
        <v>0</v>
      </c>
      <c r="S1157" s="129">
        <f t="shared" si="446"/>
        <v>1637341.3</v>
      </c>
      <c r="T1157" s="130">
        <f t="shared" si="396"/>
        <v>5373.6176567115199</v>
      </c>
      <c r="U1157" s="130">
        <v>6221.2207875155891</v>
      </c>
      <c r="DJ1157" s="131"/>
      <c r="DK1157" s="131"/>
      <c r="DL1157" s="131"/>
      <c r="DZ1157" s="132"/>
      <c r="EI1157" s="133"/>
      <c r="FL1157" s="134"/>
      <c r="GB1157" s="135"/>
    </row>
    <row r="1158" spans="1:184" s="64" customFormat="1" ht="36" customHeight="1" x14ac:dyDescent="0.9">
      <c r="B1158" s="94" t="s">
        <v>925</v>
      </c>
      <c r="C1158" s="94"/>
      <c r="D1158" s="138" t="s">
        <v>934</v>
      </c>
      <c r="E1158" s="138" t="s">
        <v>934</v>
      </c>
      <c r="F1158" s="138" t="s">
        <v>934</v>
      </c>
      <c r="G1158" s="138" t="s">
        <v>934</v>
      </c>
      <c r="H1158" s="138" t="s">
        <v>934</v>
      </c>
      <c r="I1158" s="129">
        <f>I1159+I1160+I1161</f>
        <v>13642.179999999998</v>
      </c>
      <c r="J1158" s="129">
        <f t="shared" ref="J1158:L1158" si="447">J1159+J1160+J1161</f>
        <v>4926.2000000000007</v>
      </c>
      <c r="K1158" s="129">
        <f t="shared" si="447"/>
        <v>504.30000000000007</v>
      </c>
      <c r="L1158" s="139">
        <f t="shared" si="447"/>
        <v>327</v>
      </c>
      <c r="M1158" s="138" t="s">
        <v>934</v>
      </c>
      <c r="N1158" s="138" t="s">
        <v>934</v>
      </c>
      <c r="O1158" s="136" t="s">
        <v>934</v>
      </c>
      <c r="P1158" s="130">
        <v>12459674.15</v>
      </c>
      <c r="Q1158" s="130">
        <f t="shared" ref="Q1158:S1158" si="448">Q1159+Q1160+Q1161</f>
        <v>0</v>
      </c>
      <c r="R1158" s="130">
        <f t="shared" si="448"/>
        <v>0</v>
      </c>
      <c r="S1158" s="130">
        <f t="shared" si="448"/>
        <v>12459674.15</v>
      </c>
      <c r="T1158" s="130">
        <f t="shared" si="396"/>
        <v>913.31987629543096</v>
      </c>
      <c r="U1158" s="130">
        <f>MAX(U1159:U1161)</f>
        <v>1688.1440516533553</v>
      </c>
    </row>
    <row r="1159" spans="1:184" s="20" customFormat="1" ht="36" customHeight="1" x14ac:dyDescent="0.9">
      <c r="A1159" s="64">
        <v>1</v>
      </c>
      <c r="B1159" s="96">
        <f>SUBTOTAL(103,$A$923:A1159)</f>
        <v>191</v>
      </c>
      <c r="C1159" s="128" t="s">
        <v>163</v>
      </c>
      <c r="D1159" s="138">
        <v>1988</v>
      </c>
      <c r="E1159" s="138"/>
      <c r="F1159" s="169" t="s">
        <v>273</v>
      </c>
      <c r="G1159" s="138">
        <v>5</v>
      </c>
      <c r="H1159" s="138">
        <v>6</v>
      </c>
      <c r="I1159" s="129">
        <v>6118.54</v>
      </c>
      <c r="J1159" s="129">
        <v>2441.1</v>
      </c>
      <c r="K1159" s="129">
        <v>202.8</v>
      </c>
      <c r="L1159" s="140">
        <v>161</v>
      </c>
      <c r="M1159" s="138" t="s">
        <v>271</v>
      </c>
      <c r="N1159" s="138" t="s">
        <v>275</v>
      </c>
      <c r="O1159" s="138" t="s">
        <v>296</v>
      </c>
      <c r="P1159" s="129">
        <v>5095413.53</v>
      </c>
      <c r="Q1159" s="129">
        <v>0</v>
      </c>
      <c r="R1159" s="129">
        <v>0</v>
      </c>
      <c r="S1159" s="129">
        <f t="shared" ref="S1159:S1161" si="449">P1159-Q1159-R1159</f>
        <v>5095413.53</v>
      </c>
      <c r="T1159" s="130">
        <f t="shared" si="396"/>
        <v>832.78258048488692</v>
      </c>
      <c r="U1159" s="130">
        <v>1261.5399872191731</v>
      </c>
      <c r="DJ1159" s="131"/>
      <c r="DK1159" s="131"/>
      <c r="DL1159" s="131"/>
      <c r="DZ1159" s="132"/>
      <c r="EI1159" s="133"/>
      <c r="FL1159" s="134"/>
      <c r="GB1159" s="135"/>
    </row>
    <row r="1160" spans="1:184" s="20" customFormat="1" ht="36" customHeight="1" x14ac:dyDescent="0.9">
      <c r="A1160" s="64">
        <v>1</v>
      </c>
      <c r="B1160" s="96">
        <f>SUBTOTAL(103,$A$923:A1160)</f>
        <v>192</v>
      </c>
      <c r="C1160" s="128" t="s">
        <v>164</v>
      </c>
      <c r="D1160" s="138">
        <v>1985</v>
      </c>
      <c r="E1160" s="138"/>
      <c r="F1160" s="169" t="s">
        <v>273</v>
      </c>
      <c r="G1160" s="138">
        <v>5</v>
      </c>
      <c r="H1160" s="138">
        <v>4</v>
      </c>
      <c r="I1160" s="129">
        <v>4844.24</v>
      </c>
      <c r="J1160" s="129">
        <v>1720</v>
      </c>
      <c r="K1160" s="129">
        <v>192.4</v>
      </c>
      <c r="L1160" s="140">
        <v>114</v>
      </c>
      <c r="M1160" s="138" t="s">
        <v>271</v>
      </c>
      <c r="N1160" s="138" t="s">
        <v>275</v>
      </c>
      <c r="O1160" s="138" t="s">
        <v>296</v>
      </c>
      <c r="P1160" s="129">
        <v>3457309.86</v>
      </c>
      <c r="Q1160" s="129">
        <v>0</v>
      </c>
      <c r="R1160" s="129">
        <v>0</v>
      </c>
      <c r="S1160" s="129">
        <f t="shared" si="449"/>
        <v>3457309.86</v>
      </c>
      <c r="T1160" s="130">
        <f t="shared" si="396"/>
        <v>713.69499859627103</v>
      </c>
      <c r="U1160" s="130">
        <v>1081.1402629101779</v>
      </c>
      <c r="DJ1160" s="131"/>
      <c r="DK1160" s="131"/>
      <c r="DL1160" s="131"/>
      <c r="DZ1160" s="132"/>
      <c r="EI1160" s="133"/>
      <c r="FL1160" s="134"/>
      <c r="GB1160" s="135"/>
    </row>
    <row r="1161" spans="1:184" s="20" customFormat="1" ht="36" customHeight="1" x14ac:dyDescent="0.9">
      <c r="A1161" s="64">
        <v>1</v>
      </c>
      <c r="B1161" s="96">
        <f>SUBTOTAL(103,$A$923:A1161)</f>
        <v>193</v>
      </c>
      <c r="C1161" s="128" t="s">
        <v>165</v>
      </c>
      <c r="D1161" s="138">
        <v>1979</v>
      </c>
      <c r="E1161" s="138"/>
      <c r="F1161" s="169" t="s">
        <v>273</v>
      </c>
      <c r="G1161" s="138">
        <v>3</v>
      </c>
      <c r="H1161" s="138">
        <v>3</v>
      </c>
      <c r="I1161" s="129">
        <v>2679.4</v>
      </c>
      <c r="J1161" s="129">
        <v>765.1</v>
      </c>
      <c r="K1161" s="129">
        <v>109.1</v>
      </c>
      <c r="L1161" s="140">
        <v>52</v>
      </c>
      <c r="M1161" s="138" t="s">
        <v>271</v>
      </c>
      <c r="N1161" s="138" t="s">
        <v>275</v>
      </c>
      <c r="O1161" s="138" t="s">
        <v>300</v>
      </c>
      <c r="P1161" s="129">
        <v>3906950.76</v>
      </c>
      <c r="Q1161" s="129">
        <v>0</v>
      </c>
      <c r="R1161" s="129">
        <v>0</v>
      </c>
      <c r="S1161" s="129">
        <f t="shared" si="449"/>
        <v>3906950.76</v>
      </c>
      <c r="T1161" s="130">
        <f t="shared" si="396"/>
        <v>1458.1438978875867</v>
      </c>
      <c r="U1161" s="130">
        <v>1688.1440516533553</v>
      </c>
      <c r="DJ1161" s="131"/>
      <c r="DK1161" s="131"/>
      <c r="DL1161" s="131"/>
      <c r="DZ1161" s="132"/>
      <c r="EI1161" s="133"/>
      <c r="FL1161" s="134"/>
      <c r="GB1161" s="135"/>
    </row>
    <row r="1162" spans="1:184" s="64" customFormat="1" ht="36" customHeight="1" x14ac:dyDescent="0.9">
      <c r="B1162" s="94" t="s">
        <v>896</v>
      </c>
      <c r="C1162" s="94"/>
      <c r="D1162" s="138" t="s">
        <v>934</v>
      </c>
      <c r="E1162" s="138" t="s">
        <v>934</v>
      </c>
      <c r="F1162" s="138" t="s">
        <v>934</v>
      </c>
      <c r="G1162" s="138" t="s">
        <v>934</v>
      </c>
      <c r="H1162" s="138" t="s">
        <v>934</v>
      </c>
      <c r="I1162" s="129">
        <f>SUM(I1163:I1166)</f>
        <v>13231.8</v>
      </c>
      <c r="J1162" s="129">
        <f t="shared" ref="J1162:L1162" si="450">SUM(J1163:J1166)</f>
        <v>7845</v>
      </c>
      <c r="K1162" s="129">
        <f t="shared" si="450"/>
        <v>7498.9</v>
      </c>
      <c r="L1162" s="139">
        <f t="shared" si="450"/>
        <v>565</v>
      </c>
      <c r="M1162" s="138" t="s">
        <v>934</v>
      </c>
      <c r="N1162" s="138" t="s">
        <v>934</v>
      </c>
      <c r="O1162" s="136" t="s">
        <v>934</v>
      </c>
      <c r="P1162" s="130">
        <v>11707868.220000001</v>
      </c>
      <c r="Q1162" s="130">
        <f t="shared" ref="Q1162:S1162" si="451">Q1163+Q1164+Q1165+Q1166</f>
        <v>0</v>
      </c>
      <c r="R1162" s="130">
        <f t="shared" si="451"/>
        <v>0</v>
      </c>
      <c r="S1162" s="130">
        <f t="shared" si="451"/>
        <v>11707868.220000001</v>
      </c>
      <c r="T1162" s="130">
        <f t="shared" si="396"/>
        <v>884.82808234707306</v>
      </c>
      <c r="U1162" s="130">
        <f>MAX(U1163:U1166)</f>
        <v>2881.8596320287897</v>
      </c>
    </row>
    <row r="1163" spans="1:184" s="20" customFormat="1" ht="36" customHeight="1" x14ac:dyDescent="0.9">
      <c r="A1163" s="64">
        <v>1</v>
      </c>
      <c r="B1163" s="96">
        <f>SUBTOTAL(103,$A$923:A1163)</f>
        <v>194</v>
      </c>
      <c r="C1163" s="128" t="s">
        <v>158</v>
      </c>
      <c r="D1163" s="138">
        <v>1971</v>
      </c>
      <c r="E1163" s="138"/>
      <c r="F1163" s="169" t="s">
        <v>273</v>
      </c>
      <c r="G1163" s="138">
        <v>5</v>
      </c>
      <c r="H1163" s="138">
        <v>4</v>
      </c>
      <c r="I1163" s="129">
        <v>3186.9</v>
      </c>
      <c r="J1163" s="129">
        <v>1676</v>
      </c>
      <c r="K1163" s="129">
        <v>1676</v>
      </c>
      <c r="L1163" s="140">
        <v>169</v>
      </c>
      <c r="M1163" s="138" t="s">
        <v>271</v>
      </c>
      <c r="N1163" s="138" t="s">
        <v>305</v>
      </c>
      <c r="O1163" s="138" t="s">
        <v>306</v>
      </c>
      <c r="P1163" s="129">
        <v>2147269.5</v>
      </c>
      <c r="Q1163" s="129">
        <v>0</v>
      </c>
      <c r="R1163" s="129">
        <v>0</v>
      </c>
      <c r="S1163" s="129">
        <f t="shared" ref="S1163:S1166" si="452">P1163-Q1163-R1163</f>
        <v>2147269.5</v>
      </c>
      <c r="T1163" s="130">
        <f t="shared" si="396"/>
        <v>673.78000564812203</v>
      </c>
      <c r="U1163" s="130">
        <v>673.78</v>
      </c>
      <c r="DJ1163" s="131"/>
      <c r="DK1163" s="131"/>
      <c r="DL1163" s="131"/>
      <c r="DZ1163" s="132"/>
      <c r="EI1163" s="133"/>
      <c r="FL1163" s="134"/>
      <c r="GB1163" s="135"/>
    </row>
    <row r="1164" spans="1:184" s="20" customFormat="1" ht="36" customHeight="1" x14ac:dyDescent="0.9">
      <c r="A1164" s="64">
        <v>1</v>
      </c>
      <c r="B1164" s="96">
        <f>SUBTOTAL(103,$A$923:A1164)</f>
        <v>195</v>
      </c>
      <c r="C1164" s="128" t="s">
        <v>159</v>
      </c>
      <c r="D1164" s="138">
        <v>1971</v>
      </c>
      <c r="E1164" s="138"/>
      <c r="F1164" s="169" t="s">
        <v>273</v>
      </c>
      <c r="G1164" s="138">
        <v>5</v>
      </c>
      <c r="H1164" s="138">
        <v>3</v>
      </c>
      <c r="I1164" s="129">
        <v>3186.9</v>
      </c>
      <c r="J1164" s="129">
        <v>1676</v>
      </c>
      <c r="K1164" s="129">
        <v>1676</v>
      </c>
      <c r="L1164" s="140">
        <v>175</v>
      </c>
      <c r="M1164" s="138" t="s">
        <v>271</v>
      </c>
      <c r="N1164" s="138" t="s">
        <v>305</v>
      </c>
      <c r="O1164" s="138" t="s">
        <v>307</v>
      </c>
      <c r="P1164" s="129">
        <v>491428.7</v>
      </c>
      <c r="Q1164" s="129">
        <v>0</v>
      </c>
      <c r="R1164" s="129">
        <v>0</v>
      </c>
      <c r="S1164" s="129">
        <f t="shared" si="452"/>
        <v>491428.7</v>
      </c>
      <c r="T1164" s="130">
        <f t="shared" si="396"/>
        <v>154.20273620132417</v>
      </c>
      <c r="U1164" s="130">
        <v>392.66207286077378</v>
      </c>
      <c r="DJ1164" s="131"/>
      <c r="DK1164" s="131"/>
      <c r="DL1164" s="131"/>
      <c r="DZ1164" s="132"/>
      <c r="EI1164" s="133"/>
      <c r="FL1164" s="134"/>
      <c r="GB1164" s="135"/>
    </row>
    <row r="1165" spans="1:184" s="20" customFormat="1" ht="36" customHeight="1" x14ac:dyDescent="0.9">
      <c r="A1165" s="64">
        <v>1</v>
      </c>
      <c r="B1165" s="96">
        <f>SUBTOTAL(103,$A$923:A1165)</f>
        <v>196</v>
      </c>
      <c r="C1165" s="128" t="s">
        <v>161</v>
      </c>
      <c r="D1165" s="138">
        <v>1979</v>
      </c>
      <c r="E1165" s="138"/>
      <c r="F1165" s="169" t="s">
        <v>273</v>
      </c>
      <c r="G1165" s="138">
        <v>2</v>
      </c>
      <c r="H1165" s="138">
        <v>3</v>
      </c>
      <c r="I1165" s="129">
        <v>1556.1</v>
      </c>
      <c r="J1165" s="129">
        <v>863</v>
      </c>
      <c r="K1165" s="129">
        <v>863</v>
      </c>
      <c r="L1165" s="140">
        <v>32</v>
      </c>
      <c r="M1165" s="138" t="s">
        <v>271</v>
      </c>
      <c r="N1165" s="138" t="s">
        <v>275</v>
      </c>
      <c r="O1165" s="138" t="s">
        <v>300</v>
      </c>
      <c r="P1165" s="129">
        <v>3873479.02</v>
      </c>
      <c r="Q1165" s="129">
        <v>0</v>
      </c>
      <c r="R1165" s="129">
        <v>0</v>
      </c>
      <c r="S1165" s="129">
        <f t="shared" si="452"/>
        <v>3873479.02</v>
      </c>
      <c r="T1165" s="130">
        <f t="shared" si="396"/>
        <v>2489.2224278645331</v>
      </c>
      <c r="U1165" s="130">
        <v>2881.8596320287897</v>
      </c>
      <c r="DJ1165" s="131"/>
      <c r="DK1165" s="131"/>
      <c r="DL1165" s="131"/>
      <c r="DZ1165" s="132"/>
      <c r="EI1165" s="133"/>
      <c r="FL1165" s="134"/>
      <c r="GB1165" s="135"/>
    </row>
    <row r="1166" spans="1:184" s="20" customFormat="1" ht="36" customHeight="1" x14ac:dyDescent="0.9">
      <c r="A1166" s="64">
        <v>1</v>
      </c>
      <c r="B1166" s="96">
        <f>SUBTOTAL(103,$A$923:A1166)</f>
        <v>197</v>
      </c>
      <c r="C1166" s="128" t="s">
        <v>139</v>
      </c>
      <c r="D1166" s="138">
        <v>1990</v>
      </c>
      <c r="E1166" s="138"/>
      <c r="F1166" s="169" t="s">
        <v>273</v>
      </c>
      <c r="G1166" s="138">
        <v>5</v>
      </c>
      <c r="H1166" s="138">
        <v>5</v>
      </c>
      <c r="I1166" s="129">
        <v>5301.9</v>
      </c>
      <c r="J1166" s="129">
        <v>3630</v>
      </c>
      <c r="K1166" s="129">
        <v>3283.9</v>
      </c>
      <c r="L1166" s="140">
        <v>189</v>
      </c>
      <c r="M1166" s="138" t="s">
        <v>271</v>
      </c>
      <c r="N1166" s="138" t="s">
        <v>275</v>
      </c>
      <c r="O1166" s="138" t="s">
        <v>300</v>
      </c>
      <c r="P1166" s="129">
        <v>5195691</v>
      </c>
      <c r="Q1166" s="129">
        <v>0</v>
      </c>
      <c r="R1166" s="129">
        <v>0</v>
      </c>
      <c r="S1166" s="129">
        <f t="shared" si="452"/>
        <v>5195691</v>
      </c>
      <c r="T1166" s="130">
        <f t="shared" ref="T1166:T1192" si="453">P1166/I1166</f>
        <v>979.96774741130548</v>
      </c>
      <c r="U1166" s="130">
        <v>1134.5428431317075</v>
      </c>
      <c r="DJ1166" s="131"/>
      <c r="DK1166" s="131"/>
      <c r="DL1166" s="131"/>
      <c r="DZ1166" s="132"/>
      <c r="EI1166" s="133"/>
      <c r="FL1166" s="134"/>
      <c r="GB1166" s="135"/>
    </row>
    <row r="1167" spans="1:184" s="64" customFormat="1" ht="36" customHeight="1" x14ac:dyDescent="0.9">
      <c r="B1167" s="94" t="s">
        <v>897</v>
      </c>
      <c r="C1167" s="126"/>
      <c r="D1167" s="138" t="s">
        <v>934</v>
      </c>
      <c r="E1167" s="138" t="s">
        <v>934</v>
      </c>
      <c r="F1167" s="138" t="s">
        <v>934</v>
      </c>
      <c r="G1167" s="138" t="s">
        <v>934</v>
      </c>
      <c r="H1167" s="138" t="s">
        <v>934</v>
      </c>
      <c r="I1167" s="129">
        <f>SUM(I1168:I1169)</f>
        <v>5101.2</v>
      </c>
      <c r="J1167" s="129">
        <f t="shared" ref="J1167:L1167" si="454">SUM(J1168:J1169)</f>
        <v>4560.8999999999996</v>
      </c>
      <c r="K1167" s="129">
        <f t="shared" si="454"/>
        <v>3873.8</v>
      </c>
      <c r="L1167" s="139">
        <f t="shared" si="454"/>
        <v>164</v>
      </c>
      <c r="M1167" s="138" t="s">
        <v>934</v>
      </c>
      <c r="N1167" s="138" t="s">
        <v>934</v>
      </c>
      <c r="O1167" s="136" t="s">
        <v>934</v>
      </c>
      <c r="P1167" s="130">
        <v>9221698.8000000007</v>
      </c>
      <c r="Q1167" s="130">
        <f t="shared" ref="Q1167:S1167" si="455">Q1168+Q1169</f>
        <v>0</v>
      </c>
      <c r="R1167" s="130">
        <f t="shared" si="455"/>
        <v>0</v>
      </c>
      <c r="S1167" s="130">
        <f t="shared" si="455"/>
        <v>9221698.8000000007</v>
      </c>
      <c r="T1167" s="130">
        <f t="shared" si="453"/>
        <v>1807.7508821453778</v>
      </c>
      <c r="U1167" s="130">
        <f>MAX(U1168:U1169)</f>
        <v>2927.0519881377477</v>
      </c>
    </row>
    <row r="1168" spans="1:184" s="20" customFormat="1" ht="36" customHeight="1" x14ac:dyDescent="0.9">
      <c r="A1168" s="64">
        <v>1</v>
      </c>
      <c r="B1168" s="96">
        <f>SUBTOTAL(103,$A$923:A1168)</f>
        <v>198</v>
      </c>
      <c r="C1168" s="128" t="s">
        <v>101</v>
      </c>
      <c r="D1168" s="138">
        <v>1985</v>
      </c>
      <c r="E1168" s="138"/>
      <c r="F1168" s="169" t="s">
        <v>273</v>
      </c>
      <c r="G1168" s="138">
        <v>3</v>
      </c>
      <c r="H1168" s="138">
        <v>3</v>
      </c>
      <c r="I1168" s="129">
        <v>1652.3</v>
      </c>
      <c r="J1168" s="129">
        <v>1350.8</v>
      </c>
      <c r="K1168" s="129">
        <v>1350.8</v>
      </c>
      <c r="L1168" s="140">
        <v>61</v>
      </c>
      <c r="M1168" s="138" t="s">
        <v>271</v>
      </c>
      <c r="N1168" s="138" t="s">
        <v>275</v>
      </c>
      <c r="O1168" s="138" t="s">
        <v>288</v>
      </c>
      <c r="P1168" s="129">
        <v>4177440</v>
      </c>
      <c r="Q1168" s="129">
        <v>0</v>
      </c>
      <c r="R1168" s="129">
        <v>0</v>
      </c>
      <c r="S1168" s="129">
        <f t="shared" ref="S1168:S1169" si="456">P1168-Q1168-R1168</f>
        <v>4177440</v>
      </c>
      <c r="T1168" s="130">
        <f t="shared" si="453"/>
        <v>2528.257580342553</v>
      </c>
      <c r="U1168" s="130">
        <v>2927.0519881377477</v>
      </c>
      <c r="DJ1168" s="131"/>
      <c r="DK1168" s="131"/>
      <c r="DL1168" s="131"/>
      <c r="DZ1168" s="132"/>
      <c r="EI1168" s="133"/>
      <c r="FL1168" s="134"/>
      <c r="GB1168" s="135"/>
    </row>
    <row r="1169" spans="1:184" s="20" customFormat="1" ht="36" customHeight="1" x14ac:dyDescent="0.9">
      <c r="A1169" s="64">
        <v>1</v>
      </c>
      <c r="B1169" s="96">
        <f>SUBTOTAL(103,$A$923:A1169)</f>
        <v>199</v>
      </c>
      <c r="C1169" s="128" t="s">
        <v>102</v>
      </c>
      <c r="D1169" s="138">
        <v>1972</v>
      </c>
      <c r="E1169" s="138"/>
      <c r="F1169" s="169" t="s">
        <v>273</v>
      </c>
      <c r="G1169" s="138">
        <v>5</v>
      </c>
      <c r="H1169" s="138">
        <v>4</v>
      </c>
      <c r="I1169" s="129">
        <v>3448.9</v>
      </c>
      <c r="J1169" s="129">
        <v>3210.1</v>
      </c>
      <c r="K1169" s="129">
        <v>2523</v>
      </c>
      <c r="L1169" s="140">
        <v>103</v>
      </c>
      <c r="M1169" s="138" t="s">
        <v>271</v>
      </c>
      <c r="N1169" s="138" t="s">
        <v>275</v>
      </c>
      <c r="O1169" s="138" t="s">
        <v>286</v>
      </c>
      <c r="P1169" s="129">
        <v>5044258.8</v>
      </c>
      <c r="Q1169" s="129">
        <v>0</v>
      </c>
      <c r="R1169" s="129">
        <v>0</v>
      </c>
      <c r="S1169" s="129">
        <f t="shared" si="456"/>
        <v>5044258.8</v>
      </c>
      <c r="T1169" s="130">
        <f t="shared" si="453"/>
        <v>1462.5703267708543</v>
      </c>
      <c r="U1169" s="130">
        <v>1693.268682768419</v>
      </c>
      <c r="DJ1169" s="131"/>
      <c r="DK1169" s="131"/>
      <c r="DL1169" s="131"/>
      <c r="DZ1169" s="132"/>
      <c r="EI1169" s="133"/>
      <c r="FL1169" s="134"/>
      <c r="GB1169" s="135"/>
    </row>
    <row r="1170" spans="1:184" s="64" customFormat="1" ht="36" customHeight="1" x14ac:dyDescent="0.9">
      <c r="B1170" s="94" t="s">
        <v>924</v>
      </c>
      <c r="C1170" s="94"/>
      <c r="D1170" s="138" t="s">
        <v>934</v>
      </c>
      <c r="E1170" s="138" t="s">
        <v>934</v>
      </c>
      <c r="F1170" s="138" t="s">
        <v>934</v>
      </c>
      <c r="G1170" s="138" t="s">
        <v>934</v>
      </c>
      <c r="H1170" s="138" t="s">
        <v>934</v>
      </c>
      <c r="I1170" s="129">
        <f>I1171</f>
        <v>783.81</v>
      </c>
      <c r="J1170" s="129">
        <f t="shared" ref="J1170:L1170" si="457">J1171</f>
        <v>668.19</v>
      </c>
      <c r="K1170" s="129">
        <f t="shared" si="457"/>
        <v>668.19</v>
      </c>
      <c r="L1170" s="139">
        <f t="shared" si="457"/>
        <v>28</v>
      </c>
      <c r="M1170" s="138" t="s">
        <v>934</v>
      </c>
      <c r="N1170" s="138" t="s">
        <v>934</v>
      </c>
      <c r="O1170" s="136" t="s">
        <v>934</v>
      </c>
      <c r="P1170" s="130">
        <v>3623929.1999999997</v>
      </c>
      <c r="Q1170" s="130">
        <f t="shared" ref="Q1170:S1170" si="458">Q1171</f>
        <v>0</v>
      </c>
      <c r="R1170" s="130">
        <f t="shared" si="458"/>
        <v>0</v>
      </c>
      <c r="S1170" s="130">
        <f t="shared" si="458"/>
        <v>3623929.1999999997</v>
      </c>
      <c r="T1170" s="130">
        <f t="shared" si="453"/>
        <v>4623.4791594901826</v>
      </c>
      <c r="U1170" s="130">
        <f>U1171</f>
        <v>5352.7630930965415</v>
      </c>
    </row>
    <row r="1171" spans="1:184" s="20" customFormat="1" ht="36" customHeight="1" x14ac:dyDescent="0.9">
      <c r="A1171" s="64">
        <v>1</v>
      </c>
      <c r="B1171" s="96">
        <f>SUBTOTAL(103,$A$923:A1171)</f>
        <v>200</v>
      </c>
      <c r="C1171" s="128" t="s">
        <v>106</v>
      </c>
      <c r="D1171" s="138">
        <v>1968</v>
      </c>
      <c r="E1171" s="138"/>
      <c r="F1171" s="169" t="s">
        <v>273</v>
      </c>
      <c r="G1171" s="138">
        <v>2</v>
      </c>
      <c r="H1171" s="138">
        <v>2</v>
      </c>
      <c r="I1171" s="129">
        <v>783.81</v>
      </c>
      <c r="J1171" s="129">
        <v>668.19</v>
      </c>
      <c r="K1171" s="129">
        <v>668.19</v>
      </c>
      <c r="L1171" s="140">
        <v>28</v>
      </c>
      <c r="M1171" s="138" t="s">
        <v>271</v>
      </c>
      <c r="N1171" s="138" t="s">
        <v>275</v>
      </c>
      <c r="O1171" s="138" t="s">
        <v>288</v>
      </c>
      <c r="P1171" s="129">
        <v>3623929.1999999997</v>
      </c>
      <c r="Q1171" s="129">
        <v>0</v>
      </c>
      <c r="R1171" s="129">
        <v>0</v>
      </c>
      <c r="S1171" s="129">
        <f>P1171-Q1171-R1171</f>
        <v>3623929.1999999997</v>
      </c>
      <c r="T1171" s="130">
        <f t="shared" si="453"/>
        <v>4623.4791594901826</v>
      </c>
      <c r="U1171" s="130">
        <v>5352.7630930965415</v>
      </c>
      <c r="DJ1171" s="131"/>
      <c r="DK1171" s="131"/>
      <c r="DL1171" s="131"/>
      <c r="DZ1171" s="132"/>
      <c r="EI1171" s="133"/>
      <c r="FL1171" s="134"/>
      <c r="GB1171" s="135"/>
    </row>
    <row r="1172" spans="1:184" s="64" customFormat="1" ht="36" customHeight="1" x14ac:dyDescent="0.9">
      <c r="B1172" s="94" t="s">
        <v>898</v>
      </c>
      <c r="C1172" s="94"/>
      <c r="D1172" s="138" t="s">
        <v>934</v>
      </c>
      <c r="E1172" s="138" t="s">
        <v>934</v>
      </c>
      <c r="F1172" s="138" t="s">
        <v>934</v>
      </c>
      <c r="G1172" s="138" t="s">
        <v>934</v>
      </c>
      <c r="H1172" s="138" t="s">
        <v>934</v>
      </c>
      <c r="I1172" s="129">
        <f>I1173</f>
        <v>680.2</v>
      </c>
      <c r="J1172" s="129">
        <f t="shared" ref="J1172:L1172" si="459">J1173</f>
        <v>617.70000000000005</v>
      </c>
      <c r="K1172" s="129">
        <f t="shared" si="459"/>
        <v>617.70000000000005</v>
      </c>
      <c r="L1172" s="139">
        <f t="shared" si="459"/>
        <v>32</v>
      </c>
      <c r="M1172" s="138" t="s">
        <v>934</v>
      </c>
      <c r="N1172" s="138" t="s">
        <v>934</v>
      </c>
      <c r="O1172" s="136" t="s">
        <v>934</v>
      </c>
      <c r="P1172" s="130">
        <v>3080862</v>
      </c>
      <c r="Q1172" s="130">
        <f t="shared" ref="Q1172:S1172" si="460">Q1173</f>
        <v>0</v>
      </c>
      <c r="R1172" s="130">
        <f t="shared" si="460"/>
        <v>0</v>
      </c>
      <c r="S1172" s="130">
        <f t="shared" si="460"/>
        <v>3080862</v>
      </c>
      <c r="T1172" s="130">
        <f t="shared" si="453"/>
        <v>4529.3472508085852</v>
      </c>
      <c r="U1172" s="130">
        <f>U1173</f>
        <v>5243.7832990296965</v>
      </c>
    </row>
    <row r="1173" spans="1:184" s="20" customFormat="1" ht="36" customHeight="1" x14ac:dyDescent="0.9">
      <c r="A1173" s="64">
        <v>1</v>
      </c>
      <c r="B1173" s="96">
        <f>SUBTOTAL(103,$A$923:A1173)</f>
        <v>201</v>
      </c>
      <c r="C1173" s="128" t="s">
        <v>103</v>
      </c>
      <c r="D1173" s="138">
        <v>1961</v>
      </c>
      <c r="E1173" s="138"/>
      <c r="F1173" s="169" t="s">
        <v>273</v>
      </c>
      <c r="G1173" s="138">
        <v>2</v>
      </c>
      <c r="H1173" s="138">
        <v>2</v>
      </c>
      <c r="I1173" s="129">
        <v>680.2</v>
      </c>
      <c r="J1173" s="129">
        <v>617.70000000000005</v>
      </c>
      <c r="K1173" s="129">
        <v>617.70000000000005</v>
      </c>
      <c r="L1173" s="140">
        <v>32</v>
      </c>
      <c r="M1173" s="138" t="s">
        <v>271</v>
      </c>
      <c r="N1173" s="138" t="s">
        <v>275</v>
      </c>
      <c r="O1173" s="138" t="s">
        <v>1056</v>
      </c>
      <c r="P1173" s="129">
        <v>3080862</v>
      </c>
      <c r="Q1173" s="129">
        <v>0</v>
      </c>
      <c r="R1173" s="129">
        <v>0</v>
      </c>
      <c r="S1173" s="129">
        <f>P1173-Q1173-R1173</f>
        <v>3080862</v>
      </c>
      <c r="T1173" s="130">
        <f t="shared" si="453"/>
        <v>4529.3472508085852</v>
      </c>
      <c r="U1173" s="130">
        <v>5243.7832990296965</v>
      </c>
      <c r="DJ1173" s="131"/>
      <c r="DK1173" s="131"/>
      <c r="DL1173" s="131"/>
      <c r="DZ1173" s="132"/>
      <c r="EI1173" s="133"/>
      <c r="FL1173" s="134"/>
      <c r="GB1173" s="135"/>
    </row>
    <row r="1174" spans="1:184" s="64" customFormat="1" ht="36" customHeight="1" x14ac:dyDescent="0.9">
      <c r="B1174" s="94" t="s">
        <v>899</v>
      </c>
      <c r="C1174" s="94"/>
      <c r="D1174" s="138" t="s">
        <v>934</v>
      </c>
      <c r="E1174" s="138" t="s">
        <v>934</v>
      </c>
      <c r="F1174" s="138" t="s">
        <v>934</v>
      </c>
      <c r="G1174" s="138" t="s">
        <v>934</v>
      </c>
      <c r="H1174" s="138" t="s">
        <v>934</v>
      </c>
      <c r="I1174" s="129">
        <f>SUM(I1175:I1176)</f>
        <v>646.4</v>
      </c>
      <c r="J1174" s="129">
        <f t="shared" ref="J1174:L1174" si="461">SUM(J1175:J1176)</f>
        <v>546.1</v>
      </c>
      <c r="K1174" s="129">
        <f t="shared" si="461"/>
        <v>546.1</v>
      </c>
      <c r="L1174" s="139">
        <f t="shared" si="461"/>
        <v>28</v>
      </c>
      <c r="M1174" s="138" t="s">
        <v>934</v>
      </c>
      <c r="N1174" s="138" t="s">
        <v>934</v>
      </c>
      <c r="O1174" s="136" t="s">
        <v>934</v>
      </c>
      <c r="P1174" s="130">
        <v>2610892.59</v>
      </c>
      <c r="Q1174" s="130">
        <f t="shared" ref="Q1174:S1174" si="462">Q1175+Q1176</f>
        <v>0</v>
      </c>
      <c r="R1174" s="130">
        <f t="shared" si="462"/>
        <v>0</v>
      </c>
      <c r="S1174" s="130">
        <f t="shared" si="462"/>
        <v>2610892.59</v>
      </c>
      <c r="T1174" s="130">
        <f t="shared" si="453"/>
        <v>4039.1283879950493</v>
      </c>
      <c r="U1174" s="130">
        <f>MAX(U1175:U1176)</f>
        <v>4913.5525501809816</v>
      </c>
    </row>
    <row r="1175" spans="1:184" s="20" customFormat="1" ht="36" customHeight="1" x14ac:dyDescent="0.9">
      <c r="A1175" s="64">
        <v>1</v>
      </c>
      <c r="B1175" s="96">
        <f>SUBTOTAL(103,$A$923:A1175)</f>
        <v>202</v>
      </c>
      <c r="C1175" s="128" t="s">
        <v>104</v>
      </c>
      <c r="D1175" s="138">
        <v>1966</v>
      </c>
      <c r="E1175" s="138"/>
      <c r="F1175" s="169" t="s">
        <v>273</v>
      </c>
      <c r="G1175" s="138">
        <v>2</v>
      </c>
      <c r="H1175" s="138">
        <v>1</v>
      </c>
      <c r="I1175" s="129">
        <v>342.5</v>
      </c>
      <c r="J1175" s="129">
        <v>273.8</v>
      </c>
      <c r="K1175" s="129">
        <v>273.8</v>
      </c>
      <c r="L1175" s="140">
        <v>18</v>
      </c>
      <c r="M1175" s="138" t="s">
        <v>271</v>
      </c>
      <c r="N1175" s="138" t="s">
        <v>275</v>
      </c>
      <c r="O1175" s="138" t="s">
        <v>288</v>
      </c>
      <c r="P1175" s="129">
        <v>1321115.3999999999</v>
      </c>
      <c r="Q1175" s="129">
        <v>0</v>
      </c>
      <c r="R1175" s="129">
        <v>0</v>
      </c>
      <c r="S1175" s="129">
        <f t="shared" ref="S1175:S1176" si="463">P1175-Q1175-R1175</f>
        <v>1321115.3999999999</v>
      </c>
      <c r="T1175" s="130">
        <f t="shared" si="453"/>
        <v>3857.2712408759121</v>
      </c>
      <c r="U1175" s="130">
        <v>4465.6974598540146</v>
      </c>
      <c r="DJ1175" s="131"/>
      <c r="DK1175" s="131"/>
      <c r="DL1175" s="131"/>
      <c r="DZ1175" s="132"/>
      <c r="EI1175" s="133"/>
      <c r="FL1175" s="134"/>
      <c r="GB1175" s="135"/>
    </row>
    <row r="1176" spans="1:184" s="20" customFormat="1" ht="36" customHeight="1" x14ac:dyDescent="0.9">
      <c r="A1176" s="64">
        <v>1</v>
      </c>
      <c r="B1176" s="96">
        <f>SUBTOTAL(103,$A$923:A1176)</f>
        <v>203</v>
      </c>
      <c r="C1176" s="128" t="s">
        <v>105</v>
      </c>
      <c r="D1176" s="138">
        <v>1970</v>
      </c>
      <c r="E1176" s="138"/>
      <c r="F1176" s="169" t="s">
        <v>273</v>
      </c>
      <c r="G1176" s="138">
        <v>2</v>
      </c>
      <c r="H1176" s="138">
        <v>1</v>
      </c>
      <c r="I1176" s="129">
        <v>303.89999999999998</v>
      </c>
      <c r="J1176" s="129">
        <v>272.3</v>
      </c>
      <c r="K1176" s="129">
        <v>272.3</v>
      </c>
      <c r="L1176" s="140">
        <v>10</v>
      </c>
      <c r="M1176" s="138" t="s">
        <v>271</v>
      </c>
      <c r="N1176" s="138" t="s">
        <v>275</v>
      </c>
      <c r="O1176" s="138" t="s">
        <v>288</v>
      </c>
      <c r="P1176" s="129">
        <v>1289777.1900000002</v>
      </c>
      <c r="Q1176" s="129">
        <v>0</v>
      </c>
      <c r="R1176" s="129">
        <v>0</v>
      </c>
      <c r="S1176" s="129">
        <f t="shared" si="463"/>
        <v>1289777.1900000002</v>
      </c>
      <c r="T1176" s="130">
        <f t="shared" si="453"/>
        <v>4244.0842053307015</v>
      </c>
      <c r="U1176" s="130">
        <v>4913.5525501809816</v>
      </c>
      <c r="DJ1176" s="131"/>
      <c r="DK1176" s="131"/>
      <c r="DL1176" s="131"/>
      <c r="DZ1176" s="132"/>
      <c r="EI1176" s="133"/>
      <c r="FL1176" s="134"/>
      <c r="GB1176" s="135"/>
    </row>
    <row r="1177" spans="1:184" s="64" customFormat="1" ht="36" customHeight="1" x14ac:dyDescent="0.9">
      <c r="B1177" s="94" t="s">
        <v>901</v>
      </c>
      <c r="C1177" s="126"/>
      <c r="D1177" s="138" t="s">
        <v>934</v>
      </c>
      <c r="E1177" s="138" t="s">
        <v>934</v>
      </c>
      <c r="F1177" s="138" t="s">
        <v>934</v>
      </c>
      <c r="G1177" s="138" t="s">
        <v>934</v>
      </c>
      <c r="H1177" s="138" t="s">
        <v>934</v>
      </c>
      <c r="I1177" s="129">
        <f>SUM(I1178:I1180)</f>
        <v>2009.6000000000001</v>
      </c>
      <c r="J1177" s="129">
        <f t="shared" ref="J1177:L1177" si="464">SUM(J1178:J1180)</f>
        <v>1550.3999999999999</v>
      </c>
      <c r="K1177" s="129">
        <f t="shared" si="464"/>
        <v>1491.6</v>
      </c>
      <c r="L1177" s="139">
        <f t="shared" si="464"/>
        <v>77</v>
      </c>
      <c r="M1177" s="138" t="s">
        <v>934</v>
      </c>
      <c r="N1177" s="138" t="s">
        <v>934</v>
      </c>
      <c r="O1177" s="136" t="s">
        <v>934</v>
      </c>
      <c r="P1177" s="130">
        <v>6332416.4000000004</v>
      </c>
      <c r="Q1177" s="130">
        <f t="shared" ref="Q1177:S1177" si="465">Q1178+Q1179+Q1180</f>
        <v>0</v>
      </c>
      <c r="R1177" s="130">
        <f t="shared" si="465"/>
        <v>0</v>
      </c>
      <c r="S1177" s="130">
        <f t="shared" si="465"/>
        <v>6332416.4000000004</v>
      </c>
      <c r="T1177" s="130">
        <f t="shared" si="453"/>
        <v>3151.0830015923566</v>
      </c>
      <c r="U1177" s="130">
        <f>MAX(U1178:U1180)</f>
        <v>6167.416462379786</v>
      </c>
    </row>
    <row r="1178" spans="1:184" s="20" customFormat="1" ht="36" customHeight="1" x14ac:dyDescent="0.9">
      <c r="A1178" s="64">
        <v>1</v>
      </c>
      <c r="B1178" s="96">
        <f>SUBTOTAL(103,$A$923:A1178)</f>
        <v>204</v>
      </c>
      <c r="C1178" s="128" t="s">
        <v>198</v>
      </c>
      <c r="D1178" s="138" t="s">
        <v>321</v>
      </c>
      <c r="E1178" s="138"/>
      <c r="F1178" s="169" t="s">
        <v>273</v>
      </c>
      <c r="G1178" s="138" t="s">
        <v>311</v>
      </c>
      <c r="H1178" s="138" t="s">
        <v>311</v>
      </c>
      <c r="I1178" s="129">
        <v>945.6</v>
      </c>
      <c r="J1178" s="129">
        <v>572.29999999999995</v>
      </c>
      <c r="K1178" s="129">
        <v>513.5</v>
      </c>
      <c r="L1178" s="140">
        <v>21</v>
      </c>
      <c r="M1178" s="138" t="s">
        <v>271</v>
      </c>
      <c r="N1178" s="138" t="s">
        <v>272</v>
      </c>
      <c r="O1178" s="138" t="s">
        <v>274</v>
      </c>
      <c r="P1178" s="129">
        <v>3549600</v>
      </c>
      <c r="Q1178" s="129">
        <v>0</v>
      </c>
      <c r="R1178" s="129">
        <v>0</v>
      </c>
      <c r="S1178" s="129">
        <f t="shared" ref="S1178:S1180" si="466">P1178-Q1178-R1178</f>
        <v>3549600</v>
      </c>
      <c r="T1178" s="130">
        <f t="shared" si="453"/>
        <v>3753.8071065989848</v>
      </c>
      <c r="U1178" s="130">
        <v>4449.7040609137057</v>
      </c>
      <c r="DJ1178" s="131"/>
      <c r="DK1178" s="131"/>
      <c r="DL1178" s="131"/>
      <c r="DZ1178" s="132"/>
      <c r="EI1178" s="133"/>
      <c r="FL1178" s="134"/>
      <c r="GB1178" s="135"/>
    </row>
    <row r="1179" spans="1:184" s="20" customFormat="1" ht="36" customHeight="1" x14ac:dyDescent="0.9">
      <c r="A1179" s="64">
        <v>1</v>
      </c>
      <c r="B1179" s="96">
        <f>SUBTOTAL(103,$A$923:A1179)</f>
        <v>205</v>
      </c>
      <c r="C1179" s="128" t="s">
        <v>199</v>
      </c>
      <c r="D1179" s="138" t="s">
        <v>322</v>
      </c>
      <c r="E1179" s="138"/>
      <c r="F1179" s="169" t="s">
        <v>326</v>
      </c>
      <c r="G1179" s="138" t="s">
        <v>320</v>
      </c>
      <c r="H1179" s="138" t="s">
        <v>312</v>
      </c>
      <c r="I1179" s="129">
        <v>533.70000000000005</v>
      </c>
      <c r="J1179" s="129">
        <v>488.8</v>
      </c>
      <c r="K1179" s="129">
        <v>488.8</v>
      </c>
      <c r="L1179" s="140">
        <v>30</v>
      </c>
      <c r="M1179" s="138" t="s">
        <v>271</v>
      </c>
      <c r="N1179" s="138" t="s">
        <v>272</v>
      </c>
      <c r="O1179" s="138" t="s">
        <v>274</v>
      </c>
      <c r="P1179" s="129">
        <v>1391408.2</v>
      </c>
      <c r="Q1179" s="129">
        <v>0</v>
      </c>
      <c r="R1179" s="129">
        <v>0</v>
      </c>
      <c r="S1179" s="129">
        <f t="shared" si="466"/>
        <v>1391408.2</v>
      </c>
      <c r="T1179" s="130">
        <f t="shared" si="453"/>
        <v>2607.0979951283489</v>
      </c>
      <c r="U1179" s="130">
        <v>6128.1261944912867</v>
      </c>
      <c r="DJ1179" s="131"/>
      <c r="DK1179" s="131"/>
      <c r="DL1179" s="131"/>
      <c r="DZ1179" s="132"/>
      <c r="EI1179" s="133"/>
      <c r="FL1179" s="134"/>
      <c r="GB1179" s="135"/>
    </row>
    <row r="1180" spans="1:184" s="20" customFormat="1" ht="36" customHeight="1" x14ac:dyDescent="0.9">
      <c r="A1180" s="64">
        <v>1</v>
      </c>
      <c r="B1180" s="96">
        <f>SUBTOTAL(103,$A$923:A1180)</f>
        <v>206</v>
      </c>
      <c r="C1180" s="128" t="s">
        <v>200</v>
      </c>
      <c r="D1180" s="138" t="s">
        <v>323</v>
      </c>
      <c r="E1180" s="138"/>
      <c r="F1180" s="169" t="s">
        <v>326</v>
      </c>
      <c r="G1180" s="138" t="s">
        <v>320</v>
      </c>
      <c r="H1180" s="138" t="s">
        <v>312</v>
      </c>
      <c r="I1180" s="129">
        <v>530.29999999999995</v>
      </c>
      <c r="J1180" s="129">
        <v>489.3</v>
      </c>
      <c r="K1180" s="129">
        <v>489.3</v>
      </c>
      <c r="L1180" s="140">
        <v>26</v>
      </c>
      <c r="M1180" s="138" t="s">
        <v>271</v>
      </c>
      <c r="N1180" s="138" t="s">
        <v>272</v>
      </c>
      <c r="O1180" s="138" t="s">
        <v>274</v>
      </c>
      <c r="P1180" s="129">
        <v>1391408.2</v>
      </c>
      <c r="Q1180" s="129">
        <v>0</v>
      </c>
      <c r="R1180" s="129">
        <v>0</v>
      </c>
      <c r="S1180" s="129">
        <f t="shared" si="466"/>
        <v>1391408.2</v>
      </c>
      <c r="T1180" s="130">
        <f t="shared" si="453"/>
        <v>2623.8133132189328</v>
      </c>
      <c r="U1180" s="130">
        <v>6167.416462379786</v>
      </c>
      <c r="DJ1180" s="131"/>
      <c r="DK1180" s="131"/>
      <c r="DL1180" s="131"/>
      <c r="DZ1180" s="132"/>
      <c r="EI1180" s="133"/>
      <c r="FL1180" s="134"/>
      <c r="GB1180" s="135"/>
    </row>
    <row r="1181" spans="1:184" s="64" customFormat="1" ht="36" customHeight="1" x14ac:dyDescent="0.9">
      <c r="B1181" s="94" t="s">
        <v>902</v>
      </c>
      <c r="C1181" s="94"/>
      <c r="D1181" s="138" t="s">
        <v>934</v>
      </c>
      <c r="E1181" s="138" t="s">
        <v>934</v>
      </c>
      <c r="F1181" s="138" t="s">
        <v>934</v>
      </c>
      <c r="G1181" s="138" t="s">
        <v>934</v>
      </c>
      <c r="H1181" s="138" t="s">
        <v>934</v>
      </c>
      <c r="I1181" s="129">
        <f>I1182</f>
        <v>814.6</v>
      </c>
      <c r="J1181" s="129">
        <f t="shared" ref="J1181:L1181" si="467">J1182</f>
        <v>814.6</v>
      </c>
      <c r="K1181" s="129">
        <f t="shared" si="467"/>
        <v>336.9</v>
      </c>
      <c r="L1181" s="139">
        <f t="shared" si="467"/>
        <v>26</v>
      </c>
      <c r="M1181" s="138" t="s">
        <v>934</v>
      </c>
      <c r="N1181" s="138" t="s">
        <v>934</v>
      </c>
      <c r="O1181" s="136" t="s">
        <v>934</v>
      </c>
      <c r="P1181" s="130">
        <v>4686244.08</v>
      </c>
      <c r="Q1181" s="130">
        <f t="shared" ref="Q1181:S1181" si="468">Q1182</f>
        <v>0</v>
      </c>
      <c r="R1181" s="130">
        <f t="shared" si="468"/>
        <v>0</v>
      </c>
      <c r="S1181" s="130">
        <f t="shared" si="468"/>
        <v>4686244.08</v>
      </c>
      <c r="T1181" s="130">
        <f t="shared" si="453"/>
        <v>5752.8162042720351</v>
      </c>
      <c r="U1181" s="130">
        <f>U1182</f>
        <v>5752.8162042720351</v>
      </c>
    </row>
    <row r="1182" spans="1:184" s="20" customFormat="1" ht="36" customHeight="1" x14ac:dyDescent="0.9">
      <c r="A1182" s="64">
        <v>1</v>
      </c>
      <c r="B1182" s="96">
        <f>SUBTOTAL(103,$A$923:A1182)</f>
        <v>207</v>
      </c>
      <c r="C1182" s="128" t="s">
        <v>1447</v>
      </c>
      <c r="D1182" s="138">
        <v>1950</v>
      </c>
      <c r="E1182" s="138"/>
      <c r="F1182" s="169" t="s">
        <v>273</v>
      </c>
      <c r="G1182" s="138">
        <v>2</v>
      </c>
      <c r="H1182" s="138">
        <v>2</v>
      </c>
      <c r="I1182" s="129">
        <v>814.6</v>
      </c>
      <c r="J1182" s="129">
        <v>814.6</v>
      </c>
      <c r="K1182" s="129">
        <v>336.9</v>
      </c>
      <c r="L1182" s="140">
        <v>26</v>
      </c>
      <c r="M1182" s="138" t="s">
        <v>271</v>
      </c>
      <c r="N1182" s="138" t="s">
        <v>275</v>
      </c>
      <c r="O1182" s="138" t="s">
        <v>1370</v>
      </c>
      <c r="P1182" s="129">
        <v>4686244.08</v>
      </c>
      <c r="Q1182" s="129">
        <v>0</v>
      </c>
      <c r="R1182" s="129">
        <v>0</v>
      </c>
      <c r="S1182" s="129">
        <f>P1182-Q1182-R1182</f>
        <v>4686244.08</v>
      </c>
      <c r="T1182" s="130">
        <f t="shared" si="453"/>
        <v>5752.8162042720351</v>
      </c>
      <c r="U1182" s="130">
        <v>5752.8162042720351</v>
      </c>
      <c r="DJ1182" s="131"/>
      <c r="DK1182" s="131"/>
      <c r="DL1182" s="131"/>
      <c r="DZ1182" s="132"/>
      <c r="EI1182" s="133"/>
      <c r="FL1182" s="134"/>
      <c r="GB1182" s="135"/>
    </row>
    <row r="1183" spans="1:184" s="64" customFormat="1" ht="36" customHeight="1" x14ac:dyDescent="0.9">
      <c r="B1183" s="94" t="s">
        <v>904</v>
      </c>
      <c r="C1183" s="94"/>
      <c r="D1183" s="138" t="s">
        <v>934</v>
      </c>
      <c r="E1183" s="138" t="s">
        <v>934</v>
      </c>
      <c r="F1183" s="138" t="s">
        <v>934</v>
      </c>
      <c r="G1183" s="138" t="s">
        <v>934</v>
      </c>
      <c r="H1183" s="138" t="s">
        <v>934</v>
      </c>
      <c r="I1183" s="129">
        <f>I1184</f>
        <v>350.9</v>
      </c>
      <c r="J1183" s="129">
        <f t="shared" ref="J1183:L1183" si="469">J1184</f>
        <v>311.89999999999998</v>
      </c>
      <c r="K1183" s="129">
        <f t="shared" si="469"/>
        <v>311.89999999999998</v>
      </c>
      <c r="L1183" s="139">
        <f t="shared" si="469"/>
        <v>18</v>
      </c>
      <c r="M1183" s="138" t="s">
        <v>934</v>
      </c>
      <c r="N1183" s="138" t="s">
        <v>934</v>
      </c>
      <c r="O1183" s="136" t="s">
        <v>934</v>
      </c>
      <c r="P1183" s="130">
        <v>3600600</v>
      </c>
      <c r="Q1183" s="130">
        <f t="shared" ref="Q1183:S1183" si="470">Q1184</f>
        <v>0</v>
      </c>
      <c r="R1183" s="130">
        <f t="shared" si="470"/>
        <v>0</v>
      </c>
      <c r="S1183" s="130">
        <f t="shared" si="470"/>
        <v>3600600</v>
      </c>
      <c r="T1183" s="130">
        <f t="shared" si="453"/>
        <v>10261.043032202908</v>
      </c>
      <c r="U1183" s="130">
        <f>U1184</f>
        <v>12876.790156739811</v>
      </c>
    </row>
    <row r="1184" spans="1:184" s="20" customFormat="1" ht="36" customHeight="1" x14ac:dyDescent="0.9">
      <c r="A1184" s="64">
        <v>1</v>
      </c>
      <c r="B1184" s="96">
        <f>SUBTOTAL(103,$A$923:A1184)</f>
        <v>208</v>
      </c>
      <c r="C1184" s="128" t="s">
        <v>837</v>
      </c>
      <c r="D1184" s="138" t="s">
        <v>323</v>
      </c>
      <c r="E1184" s="138"/>
      <c r="F1184" s="169" t="s">
        <v>273</v>
      </c>
      <c r="G1184" s="138" t="s">
        <v>311</v>
      </c>
      <c r="H1184" s="138" t="s">
        <v>312</v>
      </c>
      <c r="I1184" s="129">
        <v>350.9</v>
      </c>
      <c r="J1184" s="129">
        <v>311.89999999999998</v>
      </c>
      <c r="K1184" s="129">
        <v>311.89999999999998</v>
      </c>
      <c r="L1184" s="140">
        <v>18</v>
      </c>
      <c r="M1184" s="138" t="s">
        <v>271</v>
      </c>
      <c r="N1184" s="138" t="s">
        <v>272</v>
      </c>
      <c r="O1184" s="138" t="s">
        <v>274</v>
      </c>
      <c r="P1184" s="129">
        <v>3600600</v>
      </c>
      <c r="Q1184" s="129">
        <v>0</v>
      </c>
      <c r="R1184" s="129">
        <v>0</v>
      </c>
      <c r="S1184" s="129">
        <f>P1184-Q1184-R1184</f>
        <v>3600600</v>
      </c>
      <c r="T1184" s="130">
        <f t="shared" si="453"/>
        <v>10261.043032202908</v>
      </c>
      <c r="U1184" s="130">
        <v>12876.790156739811</v>
      </c>
      <c r="DJ1184" s="131"/>
      <c r="DK1184" s="131"/>
      <c r="DL1184" s="131"/>
      <c r="DZ1184" s="132"/>
      <c r="EI1184" s="133"/>
      <c r="FL1184" s="134"/>
      <c r="GB1184" s="135"/>
    </row>
    <row r="1185" spans="1:184" s="64" customFormat="1" ht="36" customHeight="1" x14ac:dyDescent="0.9">
      <c r="B1185" s="94" t="s">
        <v>923</v>
      </c>
      <c r="C1185" s="94"/>
      <c r="D1185" s="138" t="s">
        <v>934</v>
      </c>
      <c r="E1185" s="138" t="s">
        <v>934</v>
      </c>
      <c r="F1185" s="138" t="s">
        <v>934</v>
      </c>
      <c r="G1185" s="138" t="s">
        <v>934</v>
      </c>
      <c r="H1185" s="138" t="s">
        <v>934</v>
      </c>
      <c r="I1185" s="129">
        <f>I1186</f>
        <v>626</v>
      </c>
      <c r="J1185" s="129">
        <f t="shared" ref="J1185:L1185" si="471">J1186</f>
        <v>423.7</v>
      </c>
      <c r="K1185" s="129">
        <f t="shared" si="471"/>
        <v>423.7</v>
      </c>
      <c r="L1185" s="139">
        <f t="shared" si="471"/>
        <v>23</v>
      </c>
      <c r="M1185" s="138" t="s">
        <v>934</v>
      </c>
      <c r="N1185" s="138" t="s">
        <v>934</v>
      </c>
      <c r="O1185" s="136" t="s">
        <v>934</v>
      </c>
      <c r="P1185" s="130">
        <v>2233993.96</v>
      </c>
      <c r="Q1185" s="130">
        <f t="shared" ref="Q1185:S1185" si="472">Q1186</f>
        <v>0</v>
      </c>
      <c r="R1185" s="130">
        <f t="shared" si="472"/>
        <v>0</v>
      </c>
      <c r="S1185" s="130">
        <f t="shared" si="472"/>
        <v>2233993.96</v>
      </c>
      <c r="T1185" s="130">
        <f t="shared" si="453"/>
        <v>3568.6804472843451</v>
      </c>
      <c r="U1185" s="130">
        <f>U1186</f>
        <v>3631.1389137380193</v>
      </c>
    </row>
    <row r="1186" spans="1:184" s="20" customFormat="1" ht="36" customHeight="1" x14ac:dyDescent="0.9">
      <c r="A1186" s="64">
        <v>1</v>
      </c>
      <c r="B1186" s="96">
        <f>SUBTOTAL(103,$A$923:A1186)</f>
        <v>209</v>
      </c>
      <c r="C1186" s="128" t="s">
        <v>201</v>
      </c>
      <c r="D1186" s="138" t="s">
        <v>324</v>
      </c>
      <c r="E1186" s="138"/>
      <c r="F1186" s="169" t="s">
        <v>273</v>
      </c>
      <c r="G1186" s="138" t="s">
        <v>320</v>
      </c>
      <c r="H1186" s="138" t="s">
        <v>311</v>
      </c>
      <c r="I1186" s="129">
        <v>626</v>
      </c>
      <c r="J1186" s="129">
        <v>423.7</v>
      </c>
      <c r="K1186" s="129">
        <v>423.7</v>
      </c>
      <c r="L1186" s="140">
        <v>23</v>
      </c>
      <c r="M1186" s="138" t="s">
        <v>271</v>
      </c>
      <c r="N1186" s="138" t="s">
        <v>275</v>
      </c>
      <c r="O1186" s="138" t="s">
        <v>1034</v>
      </c>
      <c r="P1186" s="129">
        <v>2233993.96</v>
      </c>
      <c r="Q1186" s="129">
        <v>0</v>
      </c>
      <c r="R1186" s="129">
        <v>0</v>
      </c>
      <c r="S1186" s="129">
        <f>P1186-Q1186-R1186</f>
        <v>2233993.96</v>
      </c>
      <c r="T1186" s="130">
        <f t="shared" si="453"/>
        <v>3568.6804472843451</v>
      </c>
      <c r="U1186" s="130">
        <v>3631.1389137380193</v>
      </c>
      <c r="DJ1186" s="131"/>
      <c r="DK1186" s="131"/>
      <c r="DL1186" s="131"/>
      <c r="DZ1186" s="132"/>
      <c r="EI1186" s="133"/>
      <c r="FL1186" s="134"/>
      <c r="GB1186" s="135"/>
    </row>
    <row r="1187" spans="1:184" s="64" customFormat="1" ht="36" customHeight="1" x14ac:dyDescent="0.9">
      <c r="B1187" s="94" t="s">
        <v>905</v>
      </c>
      <c r="C1187" s="126"/>
      <c r="D1187" s="138" t="s">
        <v>934</v>
      </c>
      <c r="E1187" s="138" t="s">
        <v>934</v>
      </c>
      <c r="F1187" s="138" t="s">
        <v>934</v>
      </c>
      <c r="G1187" s="138" t="s">
        <v>934</v>
      </c>
      <c r="H1187" s="138" t="s">
        <v>934</v>
      </c>
      <c r="I1187" s="129">
        <f>SUM(I1188:I1190)</f>
        <v>4977.8</v>
      </c>
      <c r="J1187" s="129">
        <f t="shared" ref="J1187:L1187" si="473">SUM(J1188:J1190)</f>
        <v>4611.5</v>
      </c>
      <c r="K1187" s="129">
        <f t="shared" si="473"/>
        <v>4611.5</v>
      </c>
      <c r="L1187" s="139">
        <f t="shared" si="473"/>
        <v>158</v>
      </c>
      <c r="M1187" s="138" t="s">
        <v>934</v>
      </c>
      <c r="N1187" s="138" t="s">
        <v>934</v>
      </c>
      <c r="O1187" s="136" t="s">
        <v>934</v>
      </c>
      <c r="P1187" s="130">
        <v>14392200</v>
      </c>
      <c r="Q1187" s="130">
        <f t="shared" ref="Q1187:R1187" si="474">Q1188+Q1189+Q1190</f>
        <v>0</v>
      </c>
      <c r="R1187" s="130">
        <f t="shared" si="474"/>
        <v>0</v>
      </c>
      <c r="S1187" s="130">
        <f>S1188+S1189+S1190</f>
        <v>14392200</v>
      </c>
      <c r="T1187" s="130">
        <f t="shared" si="453"/>
        <v>2891.2772710836111</v>
      </c>
      <c r="U1187" s="130">
        <f>MAX(U1188:U1190)</f>
        <v>3616.7055098099013</v>
      </c>
    </row>
    <row r="1188" spans="1:184" s="20" customFormat="1" ht="36" customHeight="1" x14ac:dyDescent="0.9">
      <c r="A1188" s="64">
        <v>1</v>
      </c>
      <c r="B1188" s="96">
        <f>SUBTOTAL(103,$A$923:A1188)</f>
        <v>210</v>
      </c>
      <c r="C1188" s="128" t="s">
        <v>218</v>
      </c>
      <c r="D1188" s="138">
        <v>1977</v>
      </c>
      <c r="E1188" s="138"/>
      <c r="F1188" s="169" t="s">
        <v>273</v>
      </c>
      <c r="G1188" s="138">
        <v>3</v>
      </c>
      <c r="H1188" s="138">
        <v>3</v>
      </c>
      <c r="I1188" s="129">
        <v>1967.4</v>
      </c>
      <c r="J1188" s="129">
        <v>1816.8</v>
      </c>
      <c r="K1188" s="129">
        <v>1816.8</v>
      </c>
      <c r="L1188" s="140">
        <v>56</v>
      </c>
      <c r="M1188" s="138" t="s">
        <v>271</v>
      </c>
      <c r="N1188" s="138" t="s">
        <v>275</v>
      </c>
      <c r="O1188" s="138" t="s">
        <v>340</v>
      </c>
      <c r="P1188" s="129">
        <v>6002700</v>
      </c>
      <c r="Q1188" s="129">
        <v>0</v>
      </c>
      <c r="R1188" s="129">
        <v>0</v>
      </c>
      <c r="S1188" s="129">
        <f t="shared" ref="S1188:S1190" si="475">P1188-Q1188-R1188</f>
        <v>6002700</v>
      </c>
      <c r="T1188" s="130">
        <f t="shared" si="453"/>
        <v>3051.0826471485207</v>
      </c>
      <c r="U1188" s="130">
        <v>3616.7055098099013</v>
      </c>
      <c r="DJ1188" s="131"/>
      <c r="DK1188" s="131"/>
      <c r="DL1188" s="131"/>
      <c r="DZ1188" s="132"/>
      <c r="EI1188" s="133"/>
      <c r="FL1188" s="134"/>
      <c r="GB1188" s="135"/>
    </row>
    <row r="1189" spans="1:184" s="20" customFormat="1" ht="36" customHeight="1" x14ac:dyDescent="0.9">
      <c r="A1189" s="64">
        <v>1</v>
      </c>
      <c r="B1189" s="96">
        <f>SUBTOTAL(103,$A$923:A1189)</f>
        <v>211</v>
      </c>
      <c r="C1189" s="128" t="s">
        <v>219</v>
      </c>
      <c r="D1189" s="138">
        <v>1989</v>
      </c>
      <c r="E1189" s="138"/>
      <c r="F1189" s="169" t="s">
        <v>273</v>
      </c>
      <c r="G1189" s="138">
        <v>3</v>
      </c>
      <c r="H1189" s="138">
        <v>2</v>
      </c>
      <c r="I1189" s="129">
        <v>1426.9</v>
      </c>
      <c r="J1189" s="129">
        <v>1318.5</v>
      </c>
      <c r="K1189" s="129">
        <v>1318.5</v>
      </c>
      <c r="L1189" s="140">
        <v>54</v>
      </c>
      <c r="M1189" s="138" t="s">
        <v>271</v>
      </c>
      <c r="N1189" s="138" t="s">
        <v>275</v>
      </c>
      <c r="O1189" s="138" t="s">
        <v>340</v>
      </c>
      <c r="P1189" s="129">
        <v>4059600</v>
      </c>
      <c r="Q1189" s="129">
        <v>0</v>
      </c>
      <c r="R1189" s="129">
        <v>0</v>
      </c>
      <c r="S1189" s="129">
        <f t="shared" si="475"/>
        <v>4059600</v>
      </c>
      <c r="T1189" s="130">
        <f t="shared" si="453"/>
        <v>2845.0487069871747</v>
      </c>
      <c r="U1189" s="130">
        <v>3372.4761090475854</v>
      </c>
      <c r="DJ1189" s="131"/>
      <c r="DK1189" s="131"/>
      <c r="DL1189" s="131"/>
      <c r="DZ1189" s="132"/>
      <c r="EI1189" s="133"/>
      <c r="FL1189" s="134"/>
      <c r="GB1189" s="135"/>
    </row>
    <row r="1190" spans="1:184" s="20" customFormat="1" ht="36" customHeight="1" x14ac:dyDescent="0.9">
      <c r="A1190" s="64">
        <v>1</v>
      </c>
      <c r="B1190" s="96">
        <f>SUBTOTAL(103,$A$923:A1190)</f>
        <v>212</v>
      </c>
      <c r="C1190" s="128" t="s">
        <v>220</v>
      </c>
      <c r="D1190" s="138">
        <v>1972</v>
      </c>
      <c r="E1190" s="138"/>
      <c r="F1190" s="169" t="s">
        <v>273</v>
      </c>
      <c r="G1190" s="138">
        <v>3</v>
      </c>
      <c r="H1190" s="138">
        <v>3</v>
      </c>
      <c r="I1190" s="129">
        <v>1583.5</v>
      </c>
      <c r="J1190" s="129">
        <v>1476.2</v>
      </c>
      <c r="K1190" s="129">
        <v>1476.2</v>
      </c>
      <c r="L1190" s="140">
        <v>48</v>
      </c>
      <c r="M1190" s="138" t="s">
        <v>271</v>
      </c>
      <c r="N1190" s="138" t="s">
        <v>275</v>
      </c>
      <c r="O1190" s="138" t="s">
        <v>340</v>
      </c>
      <c r="P1190" s="129">
        <v>4329900</v>
      </c>
      <c r="Q1190" s="129">
        <v>0</v>
      </c>
      <c r="R1190" s="129">
        <v>0</v>
      </c>
      <c r="S1190" s="129">
        <f t="shared" si="475"/>
        <v>4329900</v>
      </c>
      <c r="T1190" s="130">
        <f t="shared" si="453"/>
        <v>2734.3858541206187</v>
      </c>
      <c r="U1190" s="130">
        <v>3241.2980991474583</v>
      </c>
      <c r="DJ1190" s="131"/>
      <c r="DK1190" s="131"/>
      <c r="DL1190" s="131"/>
      <c r="DZ1190" s="132"/>
      <c r="EI1190" s="133"/>
      <c r="FL1190" s="134"/>
      <c r="GB1190" s="135"/>
    </row>
    <row r="1191" spans="1:184" s="64" customFormat="1" ht="36" customHeight="1" x14ac:dyDescent="0.9">
      <c r="B1191" s="94" t="s">
        <v>906</v>
      </c>
      <c r="C1191" s="94"/>
      <c r="D1191" s="138" t="s">
        <v>934</v>
      </c>
      <c r="E1191" s="138" t="s">
        <v>934</v>
      </c>
      <c r="F1191" s="138" t="s">
        <v>934</v>
      </c>
      <c r="G1191" s="138" t="s">
        <v>934</v>
      </c>
      <c r="H1191" s="138" t="s">
        <v>934</v>
      </c>
      <c r="I1191" s="129">
        <f>I1192</f>
        <v>775.2</v>
      </c>
      <c r="J1191" s="129">
        <f t="shared" ref="J1191:L1191" si="476">J1192</f>
        <v>715.9</v>
      </c>
      <c r="K1191" s="129">
        <f t="shared" si="476"/>
        <v>715.9</v>
      </c>
      <c r="L1191" s="139">
        <f t="shared" si="476"/>
        <v>16</v>
      </c>
      <c r="M1191" s="138" t="s">
        <v>934</v>
      </c>
      <c r="N1191" s="138" t="s">
        <v>934</v>
      </c>
      <c r="O1191" s="136" t="s">
        <v>934</v>
      </c>
      <c r="P1191" s="130">
        <v>3396600</v>
      </c>
      <c r="Q1191" s="130">
        <f t="shared" ref="Q1191:S1191" si="477">Q1192</f>
        <v>0</v>
      </c>
      <c r="R1191" s="130">
        <f t="shared" si="477"/>
        <v>0</v>
      </c>
      <c r="S1191" s="130">
        <f t="shared" si="477"/>
        <v>3396600</v>
      </c>
      <c r="T1191" s="130">
        <f t="shared" si="453"/>
        <v>4381.5789473684208</v>
      </c>
      <c r="U1191" s="130">
        <f>U1192</f>
        <v>5193.8549535603706</v>
      </c>
    </row>
    <row r="1192" spans="1:184" s="20" customFormat="1" ht="36" customHeight="1" x14ac:dyDescent="0.9">
      <c r="A1192" s="64">
        <v>1</v>
      </c>
      <c r="B1192" s="96">
        <f>SUBTOTAL(103,$A$923:A1192)</f>
        <v>213</v>
      </c>
      <c r="C1192" s="128" t="s">
        <v>226</v>
      </c>
      <c r="D1192" s="138">
        <v>1974</v>
      </c>
      <c r="E1192" s="138"/>
      <c r="F1192" s="169" t="s">
        <v>273</v>
      </c>
      <c r="G1192" s="138">
        <v>2</v>
      </c>
      <c r="H1192" s="138">
        <v>2</v>
      </c>
      <c r="I1192" s="129">
        <v>775.2</v>
      </c>
      <c r="J1192" s="129">
        <v>715.9</v>
      </c>
      <c r="K1192" s="129">
        <v>715.9</v>
      </c>
      <c r="L1192" s="140">
        <v>16</v>
      </c>
      <c r="M1192" s="138" t="s">
        <v>271</v>
      </c>
      <c r="N1192" s="138" t="s">
        <v>272</v>
      </c>
      <c r="O1192" s="138" t="s">
        <v>274</v>
      </c>
      <c r="P1192" s="129">
        <v>3396600</v>
      </c>
      <c r="Q1192" s="129">
        <v>0</v>
      </c>
      <c r="R1192" s="129">
        <v>0</v>
      </c>
      <c r="S1192" s="129">
        <f>P1192-Q1192-R1192</f>
        <v>3396600</v>
      </c>
      <c r="T1192" s="130">
        <f t="shared" si="453"/>
        <v>4381.5789473684208</v>
      </c>
      <c r="U1192" s="130">
        <v>5193.8549535603706</v>
      </c>
      <c r="DJ1192" s="131"/>
      <c r="DK1192" s="131"/>
      <c r="DL1192" s="131"/>
      <c r="DZ1192" s="132"/>
      <c r="EI1192" s="133"/>
      <c r="FL1192" s="134"/>
      <c r="GB1192" s="135"/>
    </row>
    <row r="1193" spans="1:184" x14ac:dyDescent="0.25">
      <c r="O1193" s="137"/>
    </row>
  </sheetData>
  <mergeCells count="26"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</mergeCells>
  <pageMargins left="0" right="0" top="0.39370078740157483" bottom="0" header="0" footer="0"/>
  <pageSetup paperSize="9" scale="16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view="pageBreakPreview" zoomScale="60" zoomScaleNormal="60" workbookViewId="0">
      <selection activeCell="C32" sqref="A1:C32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5" max="5" width="14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3" ht="18.75" x14ac:dyDescent="0.3">
      <c r="A1" s="1"/>
      <c r="B1" s="1"/>
      <c r="C1" s="2" t="s">
        <v>773</v>
      </c>
    </row>
    <row r="2" spans="1:3" ht="63.75" customHeight="1" x14ac:dyDescent="0.25">
      <c r="A2" s="202" t="s">
        <v>781</v>
      </c>
      <c r="B2" s="202"/>
      <c r="C2" s="202"/>
    </row>
    <row r="3" spans="1:3" ht="41.45" customHeight="1" x14ac:dyDescent="0.25">
      <c r="A3" s="197" t="s">
        <v>774</v>
      </c>
      <c r="B3" s="198"/>
      <c r="C3" s="199"/>
    </row>
    <row r="4" spans="1:3" ht="18.75" x14ac:dyDescent="0.25">
      <c r="A4" s="197" t="s">
        <v>775</v>
      </c>
      <c r="B4" s="199"/>
      <c r="C4" s="41" t="s">
        <v>782</v>
      </c>
    </row>
    <row r="5" spans="1:3" ht="18.75" x14ac:dyDescent="0.3">
      <c r="A5" s="200" t="s">
        <v>776</v>
      </c>
      <c r="B5" s="201"/>
      <c r="C5" s="42">
        <v>1686794801.2800004</v>
      </c>
    </row>
    <row r="6" spans="1:3" ht="37.5" customHeight="1" x14ac:dyDescent="0.3">
      <c r="A6" s="200" t="s">
        <v>777</v>
      </c>
      <c r="B6" s="201"/>
      <c r="C6" s="42">
        <v>0</v>
      </c>
    </row>
    <row r="7" spans="1:3" ht="18.75" x14ac:dyDescent="0.3">
      <c r="A7" s="200" t="s">
        <v>778</v>
      </c>
      <c r="B7" s="201"/>
      <c r="C7" s="42">
        <v>0</v>
      </c>
    </row>
    <row r="8" spans="1:3" ht="18.75" x14ac:dyDescent="0.3">
      <c r="A8" s="200" t="s">
        <v>779</v>
      </c>
      <c r="B8" s="201"/>
      <c r="C8" s="42">
        <v>5091410.0600000005</v>
      </c>
    </row>
    <row r="9" spans="1:3" ht="18.75" x14ac:dyDescent="0.3">
      <c r="A9" s="200" t="s">
        <v>780</v>
      </c>
      <c r="B9" s="201"/>
      <c r="C9" s="42">
        <f>C5-C6-C7-C8</f>
        <v>1681703391.2200005</v>
      </c>
    </row>
    <row r="10" spans="1:3" ht="43.9" customHeight="1" x14ac:dyDescent="0.25">
      <c r="A10" s="197" t="s">
        <v>774</v>
      </c>
      <c r="B10" s="198"/>
      <c r="C10" s="199"/>
    </row>
    <row r="11" spans="1:3" ht="18.75" x14ac:dyDescent="0.25">
      <c r="A11" s="197" t="s">
        <v>775</v>
      </c>
      <c r="B11" s="199"/>
      <c r="C11" s="41" t="s">
        <v>783</v>
      </c>
    </row>
    <row r="12" spans="1:3" ht="18.75" x14ac:dyDescent="0.3">
      <c r="A12" s="200" t="s">
        <v>776</v>
      </c>
      <c r="B12" s="201"/>
      <c r="C12" s="42">
        <v>799638471.25999999</v>
      </c>
    </row>
    <row r="13" spans="1:3" ht="33.75" customHeight="1" x14ac:dyDescent="0.3">
      <c r="A13" s="200" t="s">
        <v>777</v>
      </c>
      <c r="B13" s="201"/>
      <c r="C13" s="42">
        <v>0</v>
      </c>
    </row>
    <row r="14" spans="1:3" ht="18.75" x14ac:dyDescent="0.3">
      <c r="A14" s="200" t="s">
        <v>778</v>
      </c>
      <c r="B14" s="201"/>
      <c r="C14" s="42">
        <v>0</v>
      </c>
    </row>
    <row r="15" spans="1:3" ht="18.75" x14ac:dyDescent="0.3">
      <c r="A15" s="200" t="s">
        <v>779</v>
      </c>
      <c r="B15" s="201"/>
      <c r="C15" s="42">
        <v>2523423.19</v>
      </c>
    </row>
    <row r="16" spans="1:3" ht="18.75" x14ac:dyDescent="0.3">
      <c r="A16" s="200" t="s">
        <v>780</v>
      </c>
      <c r="B16" s="201"/>
      <c r="C16" s="42">
        <f>C12-C13-C14-C15</f>
        <v>797115048.06999993</v>
      </c>
    </row>
    <row r="17" spans="1:3" ht="39.75" customHeight="1" x14ac:dyDescent="0.25">
      <c r="A17" s="197" t="s">
        <v>774</v>
      </c>
      <c r="B17" s="198"/>
      <c r="C17" s="199"/>
    </row>
    <row r="18" spans="1:3" ht="18.75" x14ac:dyDescent="0.25">
      <c r="A18" s="197" t="s">
        <v>775</v>
      </c>
      <c r="B18" s="199"/>
      <c r="C18" s="41" t="s">
        <v>784</v>
      </c>
    </row>
    <row r="19" spans="1:3" ht="18.75" x14ac:dyDescent="0.3">
      <c r="A19" s="200" t="s">
        <v>776</v>
      </c>
      <c r="B19" s="201"/>
      <c r="C19" s="42">
        <v>791169161.6500001</v>
      </c>
    </row>
    <row r="20" spans="1:3" ht="41.25" customHeight="1" x14ac:dyDescent="0.3">
      <c r="A20" s="200" t="s">
        <v>777</v>
      </c>
      <c r="B20" s="201"/>
      <c r="C20" s="42">
        <v>0</v>
      </c>
    </row>
    <row r="21" spans="1:3" ht="18.75" x14ac:dyDescent="0.3">
      <c r="A21" s="200" t="s">
        <v>778</v>
      </c>
      <c r="B21" s="201"/>
      <c r="C21" s="42">
        <v>0</v>
      </c>
    </row>
    <row r="22" spans="1:3" ht="18.75" x14ac:dyDescent="0.3">
      <c r="A22" s="200" t="s">
        <v>779</v>
      </c>
      <c r="B22" s="201"/>
      <c r="C22" s="42">
        <v>1851570.68</v>
      </c>
    </row>
    <row r="23" spans="1:3" ht="18.75" x14ac:dyDescent="0.3">
      <c r="A23" s="200" t="s">
        <v>780</v>
      </c>
      <c r="B23" s="201"/>
      <c r="C23" s="42">
        <f>C19-C20-C21-C22</f>
        <v>789317590.97000015</v>
      </c>
    </row>
    <row r="24" spans="1:3" ht="81.75" customHeight="1" x14ac:dyDescent="0.25">
      <c r="A24" s="197" t="s">
        <v>1707</v>
      </c>
      <c r="B24" s="198"/>
      <c r="C24" s="199"/>
    </row>
    <row r="25" spans="1:3" ht="18.75" x14ac:dyDescent="0.25">
      <c r="A25" s="197" t="s">
        <v>775</v>
      </c>
      <c r="B25" s="199"/>
      <c r="C25" s="41" t="s">
        <v>782</v>
      </c>
    </row>
    <row r="26" spans="1:3" ht="18.75" x14ac:dyDescent="0.3">
      <c r="A26" s="200" t="s">
        <v>778</v>
      </c>
      <c r="B26" s="201"/>
      <c r="C26" s="42">
        <v>28865700</v>
      </c>
    </row>
    <row r="27" spans="1:3" ht="82.5" customHeight="1" x14ac:dyDescent="0.25">
      <c r="A27" s="197" t="s">
        <v>1707</v>
      </c>
      <c r="B27" s="198"/>
      <c r="C27" s="199"/>
    </row>
    <row r="28" spans="1:3" ht="18.75" x14ac:dyDescent="0.25">
      <c r="A28" s="197" t="s">
        <v>775</v>
      </c>
      <c r="B28" s="199"/>
      <c r="C28" s="41" t="s">
        <v>783</v>
      </c>
    </row>
    <row r="29" spans="1:3" ht="18.75" x14ac:dyDescent="0.3">
      <c r="A29" s="200" t="s">
        <v>778</v>
      </c>
      <c r="B29" s="201"/>
      <c r="C29" s="42">
        <v>28826300</v>
      </c>
    </row>
    <row r="30" spans="1:3" ht="81" customHeight="1" x14ac:dyDescent="0.25">
      <c r="A30" s="197" t="s">
        <v>1707</v>
      </c>
      <c r="B30" s="198"/>
      <c r="C30" s="199"/>
    </row>
    <row r="31" spans="1:3" ht="18.75" x14ac:dyDescent="0.25">
      <c r="A31" s="197" t="s">
        <v>775</v>
      </c>
      <c r="B31" s="199"/>
      <c r="C31" s="41" t="s">
        <v>784</v>
      </c>
    </row>
    <row r="32" spans="1:3" ht="18.75" x14ac:dyDescent="0.3">
      <c r="A32" s="200" t="s">
        <v>778</v>
      </c>
      <c r="B32" s="201"/>
      <c r="C32" s="42">
        <v>28058900</v>
      </c>
    </row>
  </sheetData>
  <mergeCells count="31"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  <mergeCell ref="A8:B8"/>
    <mergeCell ref="A9:B9"/>
    <mergeCell ref="A10:C10"/>
    <mergeCell ref="A11:B11"/>
    <mergeCell ref="A12:B12"/>
    <mergeCell ref="A7:B7"/>
    <mergeCell ref="A2:C2"/>
    <mergeCell ref="A3:C3"/>
    <mergeCell ref="A4:B4"/>
    <mergeCell ref="A5:B5"/>
    <mergeCell ref="A6:B6"/>
    <mergeCell ref="A30:C30"/>
    <mergeCell ref="A31:B31"/>
    <mergeCell ref="A32:B32"/>
    <mergeCell ref="A29:B29"/>
    <mergeCell ref="A24:C24"/>
    <mergeCell ref="A25:B25"/>
    <mergeCell ref="A26:B26"/>
    <mergeCell ref="A27:C27"/>
    <mergeCell ref="A28:B28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topLeftCell="A157" zoomScale="70" zoomScaleNormal="70" workbookViewId="0">
      <selection sqref="A1:F194"/>
    </sheetView>
  </sheetViews>
  <sheetFormatPr defaultRowHeight="15" x14ac:dyDescent="0.25"/>
  <cols>
    <col min="1" max="1" width="9" style="6" customWidth="1"/>
    <col min="2" max="2" width="81" style="6" customWidth="1"/>
    <col min="3" max="3" width="23.85546875" style="6" customWidth="1"/>
    <col min="4" max="4" width="32.28515625" style="6" customWidth="1"/>
    <col min="5" max="5" width="22.140625" style="6" customWidth="1"/>
    <col min="6" max="6" width="28.85546875" style="6" customWidth="1"/>
    <col min="7" max="7" width="9.140625" style="6"/>
    <col min="8" max="8" width="0" style="6" hidden="1" customWidth="1"/>
    <col min="9" max="9" width="16.28515625" style="6" hidden="1" customWidth="1"/>
    <col min="10" max="10" width="0" style="6" hidden="1" customWidth="1"/>
    <col min="11" max="16384" width="9.140625" style="6"/>
  </cols>
  <sheetData>
    <row r="1" spans="1:6" ht="20.25" x14ac:dyDescent="0.25">
      <c r="A1" s="5"/>
      <c r="B1" s="5"/>
      <c r="C1" s="5"/>
      <c r="D1" s="5"/>
      <c r="E1" s="203" t="s">
        <v>785</v>
      </c>
      <c r="F1" s="203"/>
    </row>
    <row r="2" spans="1:6" ht="95.25" customHeight="1" x14ac:dyDescent="0.25">
      <c r="B2" s="7"/>
      <c r="C2" s="7"/>
      <c r="D2" s="204" t="s">
        <v>792</v>
      </c>
      <c r="E2" s="204"/>
      <c r="F2" s="204"/>
    </row>
    <row r="3" spans="1:6" x14ac:dyDescent="0.25">
      <c r="A3" s="205" t="s">
        <v>793</v>
      </c>
      <c r="B3" s="205"/>
      <c r="C3" s="205"/>
      <c r="D3" s="205"/>
      <c r="E3" s="205"/>
      <c r="F3" s="205"/>
    </row>
    <row r="4" spans="1:6" ht="93" customHeight="1" x14ac:dyDescent="0.25">
      <c r="A4" s="205"/>
      <c r="B4" s="205"/>
      <c r="C4" s="205"/>
      <c r="D4" s="205"/>
      <c r="E4" s="205"/>
      <c r="F4" s="205"/>
    </row>
    <row r="5" spans="1:6" x14ac:dyDescent="0.25">
      <c r="A5" s="206" t="s">
        <v>6</v>
      </c>
      <c r="B5" s="209" t="s">
        <v>786</v>
      </c>
      <c r="C5" s="206" t="s">
        <v>787</v>
      </c>
      <c r="D5" s="206" t="s">
        <v>788</v>
      </c>
      <c r="E5" s="206" t="s">
        <v>789</v>
      </c>
      <c r="F5" s="206" t="s">
        <v>790</v>
      </c>
    </row>
    <row r="6" spans="1:6" x14ac:dyDescent="0.25">
      <c r="A6" s="207"/>
      <c r="B6" s="210"/>
      <c r="C6" s="212"/>
      <c r="D6" s="212"/>
      <c r="E6" s="212"/>
      <c r="F6" s="212"/>
    </row>
    <row r="7" spans="1:6" ht="101.25" customHeight="1" x14ac:dyDescent="0.25">
      <c r="A7" s="207"/>
      <c r="B7" s="210"/>
      <c r="C7" s="213"/>
      <c r="D7" s="213"/>
      <c r="E7" s="213"/>
      <c r="F7" s="213"/>
    </row>
    <row r="8" spans="1:6" ht="20.25" x14ac:dyDescent="0.3">
      <c r="A8" s="208"/>
      <c r="B8" s="211"/>
      <c r="C8" s="8" t="s">
        <v>791</v>
      </c>
      <c r="D8" s="8" t="s">
        <v>269</v>
      </c>
      <c r="E8" s="9" t="s">
        <v>37</v>
      </c>
      <c r="F8" s="9" t="s">
        <v>36</v>
      </c>
    </row>
    <row r="9" spans="1:6" ht="20.25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6" ht="20.25" x14ac:dyDescent="0.3">
      <c r="A10" s="3" t="s">
        <v>795</v>
      </c>
      <c r="B10" s="11"/>
      <c r="C10" s="78">
        <f>C11+C79+C136</f>
        <v>2607199.4699999997</v>
      </c>
      <c r="D10" s="79">
        <f>D11+D79+D136</f>
        <v>98724</v>
      </c>
      <c r="E10" s="79">
        <f>E11+E79+E136</f>
        <v>995</v>
      </c>
      <c r="F10" s="78">
        <f>F11+F79+F136</f>
        <v>3277602434.1900001</v>
      </c>
    </row>
    <row r="11" spans="1:6" ht="20.25" x14ac:dyDescent="0.3">
      <c r="A11" s="3" t="s">
        <v>796</v>
      </c>
      <c r="B11" s="11"/>
      <c r="C11" s="78">
        <f>SUM(C12:C78)</f>
        <v>1278733.6099999996</v>
      </c>
      <c r="D11" s="78">
        <f t="shared" ref="D11:E11" si="0">SUM(D12:D78)</f>
        <v>47591</v>
      </c>
      <c r="E11" s="79">
        <f t="shared" si="0"/>
        <v>477</v>
      </c>
      <c r="F11" s="78">
        <f t="shared" ref="F11" si="1">SUM(F12:F78)</f>
        <v>1686794801.2800002</v>
      </c>
    </row>
    <row r="12" spans="1:6" ht="20.25" x14ac:dyDescent="0.3">
      <c r="A12" s="4">
        <v>1</v>
      </c>
      <c r="B12" s="3" t="s">
        <v>1031</v>
      </c>
      <c r="C12" s="78">
        <v>341940.93</v>
      </c>
      <c r="D12" s="79">
        <v>13210</v>
      </c>
      <c r="E12" s="80">
        <v>113</v>
      </c>
      <c r="F12" s="112">
        <v>383462452.64000016</v>
      </c>
    </row>
    <row r="13" spans="1:6" ht="20.25" x14ac:dyDescent="0.3">
      <c r="A13" s="4">
        <v>2</v>
      </c>
      <c r="B13" s="3" t="s">
        <v>936</v>
      </c>
      <c r="C13" s="78">
        <v>57208.5</v>
      </c>
      <c r="D13" s="79">
        <v>2332</v>
      </c>
      <c r="E13" s="80">
        <v>32</v>
      </c>
      <c r="F13" s="112">
        <v>95682574.419999987</v>
      </c>
    </row>
    <row r="14" spans="1:6" ht="20.25" x14ac:dyDescent="0.3">
      <c r="A14" s="4">
        <v>3</v>
      </c>
      <c r="B14" s="3" t="s">
        <v>937</v>
      </c>
      <c r="C14" s="112">
        <v>115020.95999999998</v>
      </c>
      <c r="D14" s="80">
        <v>4374</v>
      </c>
      <c r="E14" s="80">
        <v>40</v>
      </c>
      <c r="F14" s="112">
        <v>157621357.26999998</v>
      </c>
    </row>
    <row r="15" spans="1:6" ht="20.25" x14ac:dyDescent="0.3">
      <c r="A15" s="4">
        <v>4</v>
      </c>
      <c r="B15" s="3" t="s">
        <v>993</v>
      </c>
      <c r="C15" s="112">
        <v>202837.27</v>
      </c>
      <c r="D15" s="80">
        <v>6655</v>
      </c>
      <c r="E15" s="80">
        <v>33</v>
      </c>
      <c r="F15" s="112">
        <v>182923711.81999996</v>
      </c>
    </row>
    <row r="16" spans="1:6" ht="20.25" x14ac:dyDescent="0.3">
      <c r="A16" s="4">
        <v>5</v>
      </c>
      <c r="B16" s="3" t="s">
        <v>939</v>
      </c>
      <c r="C16" s="78">
        <v>42084.039999999994</v>
      </c>
      <c r="D16" s="79">
        <v>1883</v>
      </c>
      <c r="E16" s="80">
        <v>6</v>
      </c>
      <c r="F16" s="112">
        <v>51784138.459999993</v>
      </c>
    </row>
    <row r="17" spans="1:6" ht="20.25" x14ac:dyDescent="0.3">
      <c r="A17" s="4">
        <v>6</v>
      </c>
      <c r="B17" s="3" t="s">
        <v>940</v>
      </c>
      <c r="C17" s="112">
        <v>91679.400000000009</v>
      </c>
      <c r="D17" s="80">
        <v>3487</v>
      </c>
      <c r="E17" s="80">
        <v>28</v>
      </c>
      <c r="F17" s="112">
        <v>113740245.04000002</v>
      </c>
    </row>
    <row r="18" spans="1:6" ht="20.25" x14ac:dyDescent="0.3">
      <c r="A18" s="4">
        <v>7</v>
      </c>
      <c r="B18" s="3" t="s">
        <v>941</v>
      </c>
      <c r="C18" s="112">
        <v>42597.2</v>
      </c>
      <c r="D18" s="80">
        <v>1169</v>
      </c>
      <c r="E18" s="80">
        <v>7</v>
      </c>
      <c r="F18" s="112">
        <v>31393292.599999998</v>
      </c>
    </row>
    <row r="19" spans="1:6" ht="20.25" x14ac:dyDescent="0.3">
      <c r="A19" s="4">
        <v>8</v>
      </c>
      <c r="B19" s="3" t="s">
        <v>942</v>
      </c>
      <c r="C19" s="112">
        <v>10556.800000000001</v>
      </c>
      <c r="D19" s="80">
        <v>411</v>
      </c>
      <c r="E19" s="80">
        <v>6</v>
      </c>
      <c r="F19" s="112">
        <v>35599350.520000003</v>
      </c>
    </row>
    <row r="20" spans="1:6" ht="20.25" x14ac:dyDescent="0.3">
      <c r="A20" s="4">
        <v>9</v>
      </c>
      <c r="B20" s="3" t="s">
        <v>943</v>
      </c>
      <c r="C20" s="112">
        <v>15661.67</v>
      </c>
      <c r="D20" s="80">
        <v>532</v>
      </c>
      <c r="E20" s="80">
        <v>4</v>
      </c>
      <c r="F20" s="112">
        <v>17002898.350000001</v>
      </c>
    </row>
    <row r="21" spans="1:6" ht="20.25" x14ac:dyDescent="0.3">
      <c r="A21" s="4">
        <v>10</v>
      </c>
      <c r="B21" s="3" t="s">
        <v>1442</v>
      </c>
      <c r="C21" s="112">
        <v>762</v>
      </c>
      <c r="D21" s="80">
        <v>12</v>
      </c>
      <c r="E21" s="80">
        <v>1</v>
      </c>
      <c r="F21" s="112">
        <v>509455.14</v>
      </c>
    </row>
    <row r="22" spans="1:6" ht="20.25" x14ac:dyDescent="0.3">
      <c r="A22" s="4">
        <v>11</v>
      </c>
      <c r="B22" s="3" t="s">
        <v>944</v>
      </c>
      <c r="C22" s="112">
        <v>2259.1</v>
      </c>
      <c r="D22" s="80">
        <v>104</v>
      </c>
      <c r="E22" s="80">
        <v>2</v>
      </c>
      <c r="F22" s="112">
        <v>6114371.4100000001</v>
      </c>
    </row>
    <row r="23" spans="1:6" ht="20.25" x14ac:dyDescent="0.3">
      <c r="A23" s="4">
        <v>12</v>
      </c>
      <c r="B23" s="3" t="s">
        <v>945</v>
      </c>
      <c r="C23" s="112">
        <v>4271.2</v>
      </c>
      <c r="D23" s="80">
        <v>161</v>
      </c>
      <c r="E23" s="80">
        <v>5</v>
      </c>
      <c r="F23" s="112">
        <v>13474518.75</v>
      </c>
    </row>
    <row r="24" spans="1:6" ht="20.25" x14ac:dyDescent="0.3">
      <c r="A24" s="4">
        <v>13</v>
      </c>
      <c r="B24" s="3" t="s">
        <v>946</v>
      </c>
      <c r="C24" s="112">
        <v>2996.9</v>
      </c>
      <c r="D24" s="80">
        <v>130</v>
      </c>
      <c r="E24" s="80">
        <v>5</v>
      </c>
      <c r="F24" s="112">
        <v>4109300.7899999996</v>
      </c>
    </row>
    <row r="25" spans="1:6" ht="20.25" x14ac:dyDescent="0.3">
      <c r="A25" s="4">
        <v>14</v>
      </c>
      <c r="B25" s="3" t="s">
        <v>948</v>
      </c>
      <c r="C25" s="112">
        <v>3504.3</v>
      </c>
      <c r="D25" s="80">
        <v>153</v>
      </c>
      <c r="E25" s="80">
        <v>1</v>
      </c>
      <c r="F25" s="112">
        <v>3674943.51</v>
      </c>
    </row>
    <row r="26" spans="1:6" ht="20.25" x14ac:dyDescent="0.3">
      <c r="A26" s="4">
        <v>15</v>
      </c>
      <c r="B26" s="3" t="s">
        <v>949</v>
      </c>
      <c r="C26" s="112">
        <v>39570.9</v>
      </c>
      <c r="D26" s="80">
        <v>1157</v>
      </c>
      <c r="E26" s="80">
        <v>17</v>
      </c>
      <c r="F26" s="112">
        <v>50473058.759999998</v>
      </c>
    </row>
    <row r="27" spans="1:6" ht="20.25" x14ac:dyDescent="0.3">
      <c r="A27" s="4">
        <v>16</v>
      </c>
      <c r="B27" s="3" t="s">
        <v>950</v>
      </c>
      <c r="C27" s="112">
        <v>13587.6</v>
      </c>
      <c r="D27" s="80">
        <v>812</v>
      </c>
      <c r="E27" s="80">
        <v>17</v>
      </c>
      <c r="F27" s="112">
        <v>38859598.050000004</v>
      </c>
    </row>
    <row r="28" spans="1:6" ht="20.25" x14ac:dyDescent="0.3">
      <c r="A28" s="4">
        <v>17</v>
      </c>
      <c r="B28" s="3" t="s">
        <v>951</v>
      </c>
      <c r="C28" s="112">
        <v>2214.1</v>
      </c>
      <c r="D28" s="80">
        <v>77</v>
      </c>
      <c r="E28" s="80">
        <v>6</v>
      </c>
      <c r="F28" s="112">
        <v>4925031.5999999996</v>
      </c>
    </row>
    <row r="29" spans="1:6" ht="20.25" x14ac:dyDescent="0.3">
      <c r="A29" s="4">
        <v>18</v>
      </c>
      <c r="B29" s="3" t="s">
        <v>952</v>
      </c>
      <c r="C29" s="112">
        <v>2026.2</v>
      </c>
      <c r="D29" s="80">
        <v>65</v>
      </c>
      <c r="E29" s="80">
        <v>3</v>
      </c>
      <c r="F29" s="112">
        <v>5532352.54</v>
      </c>
    </row>
    <row r="30" spans="1:6" ht="20.25" x14ac:dyDescent="0.3">
      <c r="A30" s="4">
        <v>19</v>
      </c>
      <c r="B30" s="3" t="s">
        <v>1011</v>
      </c>
      <c r="C30" s="112">
        <v>1746.5</v>
      </c>
      <c r="D30" s="80">
        <v>90</v>
      </c>
      <c r="E30" s="80">
        <v>2</v>
      </c>
      <c r="F30" s="112">
        <v>7838189.9699999997</v>
      </c>
    </row>
    <row r="31" spans="1:6" ht="20.25" x14ac:dyDescent="0.3">
      <c r="A31" s="4">
        <v>20</v>
      </c>
      <c r="B31" s="3" t="s">
        <v>955</v>
      </c>
      <c r="C31" s="78">
        <v>5687.8</v>
      </c>
      <c r="D31" s="79">
        <v>224</v>
      </c>
      <c r="E31" s="80">
        <v>3</v>
      </c>
      <c r="F31" s="112">
        <v>11111629.25</v>
      </c>
    </row>
    <row r="32" spans="1:6" ht="20.25" x14ac:dyDescent="0.3">
      <c r="A32" s="4">
        <v>21</v>
      </c>
      <c r="B32" s="3" t="s">
        <v>998</v>
      </c>
      <c r="C32" s="78">
        <v>12399.000000000002</v>
      </c>
      <c r="D32" s="79">
        <v>454</v>
      </c>
      <c r="E32" s="80">
        <v>3</v>
      </c>
      <c r="F32" s="112">
        <v>12137858.549999999</v>
      </c>
    </row>
    <row r="33" spans="1:6" ht="20.25" x14ac:dyDescent="0.3">
      <c r="A33" s="4">
        <v>22</v>
      </c>
      <c r="B33" s="3" t="s">
        <v>957</v>
      </c>
      <c r="C33" s="78">
        <v>846.4</v>
      </c>
      <c r="D33" s="79">
        <v>26</v>
      </c>
      <c r="E33" s="80">
        <v>1</v>
      </c>
      <c r="F33" s="112">
        <v>5698132.5200000005</v>
      </c>
    </row>
    <row r="34" spans="1:6" ht="20.25" x14ac:dyDescent="0.3">
      <c r="A34" s="4">
        <v>23</v>
      </c>
      <c r="B34" s="3" t="s">
        <v>959</v>
      </c>
      <c r="C34" s="112">
        <v>47247.65</v>
      </c>
      <c r="D34" s="80">
        <v>1628</v>
      </c>
      <c r="E34" s="80">
        <v>15</v>
      </c>
      <c r="F34" s="112">
        <v>56051993.530000009</v>
      </c>
    </row>
    <row r="35" spans="1:6" ht="20.25" x14ac:dyDescent="0.3">
      <c r="A35" s="4">
        <v>24</v>
      </c>
      <c r="B35" s="3" t="s">
        <v>1012</v>
      </c>
      <c r="C35" s="112">
        <v>2529.2999999999997</v>
      </c>
      <c r="D35" s="80">
        <v>114</v>
      </c>
      <c r="E35" s="80">
        <v>2</v>
      </c>
      <c r="F35" s="112">
        <v>2913286.51</v>
      </c>
    </row>
    <row r="36" spans="1:6" ht="20.25" x14ac:dyDescent="0.3">
      <c r="A36" s="4">
        <v>25</v>
      </c>
      <c r="B36" s="3" t="s">
        <v>1013</v>
      </c>
      <c r="C36" s="112">
        <v>375</v>
      </c>
      <c r="D36" s="80">
        <v>14</v>
      </c>
      <c r="E36" s="80">
        <v>1</v>
      </c>
      <c r="F36" s="112">
        <v>2727875.44</v>
      </c>
    </row>
    <row r="37" spans="1:6" ht="20.25" x14ac:dyDescent="0.3">
      <c r="A37" s="4">
        <v>26</v>
      </c>
      <c r="B37" s="3" t="s">
        <v>1014</v>
      </c>
      <c r="C37" s="112">
        <v>1156.21</v>
      </c>
      <c r="D37" s="80">
        <v>34</v>
      </c>
      <c r="E37" s="80">
        <v>1</v>
      </c>
      <c r="F37" s="112">
        <v>3866903.76</v>
      </c>
    </row>
    <row r="38" spans="1:6" ht="20.25" x14ac:dyDescent="0.3">
      <c r="A38" s="4">
        <v>27</v>
      </c>
      <c r="B38" s="3" t="s">
        <v>961</v>
      </c>
      <c r="C38" s="112">
        <v>2599.7999999999997</v>
      </c>
      <c r="D38" s="80">
        <v>115</v>
      </c>
      <c r="E38" s="80">
        <v>4</v>
      </c>
      <c r="F38" s="112">
        <v>11389569.279999999</v>
      </c>
    </row>
    <row r="39" spans="1:6" ht="20.25" x14ac:dyDescent="0.3">
      <c r="A39" s="4">
        <v>28</v>
      </c>
      <c r="B39" s="3" t="s">
        <v>962</v>
      </c>
      <c r="C39" s="78">
        <v>1157</v>
      </c>
      <c r="D39" s="79">
        <v>49</v>
      </c>
      <c r="E39" s="80">
        <v>2</v>
      </c>
      <c r="F39" s="112">
        <v>4635021.79</v>
      </c>
    </row>
    <row r="40" spans="1:6" ht="20.25" x14ac:dyDescent="0.3">
      <c r="A40" s="4">
        <v>29</v>
      </c>
      <c r="B40" s="3" t="s">
        <v>960</v>
      </c>
      <c r="C40" s="113">
        <v>407.9</v>
      </c>
      <c r="D40" s="114">
        <v>24</v>
      </c>
      <c r="E40" s="80">
        <v>1</v>
      </c>
      <c r="F40" s="112">
        <v>1547699.36</v>
      </c>
    </row>
    <row r="41" spans="1:6" ht="20.25" x14ac:dyDescent="0.3">
      <c r="A41" s="4">
        <v>30</v>
      </c>
      <c r="B41" s="3" t="s">
        <v>963</v>
      </c>
      <c r="C41" s="112">
        <v>2141.5</v>
      </c>
      <c r="D41" s="80">
        <v>79</v>
      </c>
      <c r="E41" s="80">
        <v>4</v>
      </c>
      <c r="F41" s="112">
        <v>7290181.6600000001</v>
      </c>
    </row>
    <row r="42" spans="1:6" ht="20.25" x14ac:dyDescent="0.3">
      <c r="A42" s="4">
        <v>31</v>
      </c>
      <c r="B42" s="3" t="s">
        <v>999</v>
      </c>
      <c r="C42" s="78">
        <v>829.4</v>
      </c>
      <c r="D42" s="79">
        <v>24</v>
      </c>
      <c r="E42" s="80">
        <v>1</v>
      </c>
      <c r="F42" s="112">
        <v>3230853.85</v>
      </c>
    </row>
    <row r="43" spans="1:6" ht="20.25" x14ac:dyDescent="0.3">
      <c r="A43" s="4">
        <v>32</v>
      </c>
      <c r="B43" s="3" t="s">
        <v>964</v>
      </c>
      <c r="C43" s="78">
        <v>14750.5</v>
      </c>
      <c r="D43" s="79">
        <v>473</v>
      </c>
      <c r="E43" s="80">
        <v>6</v>
      </c>
      <c r="F43" s="112">
        <v>22440468.149999999</v>
      </c>
    </row>
    <row r="44" spans="1:6" ht="20.25" x14ac:dyDescent="0.3">
      <c r="A44" s="4">
        <v>33</v>
      </c>
      <c r="B44" s="3" t="s">
        <v>965</v>
      </c>
      <c r="C44" s="78">
        <v>613</v>
      </c>
      <c r="D44" s="79">
        <v>33</v>
      </c>
      <c r="E44" s="80">
        <v>1</v>
      </c>
      <c r="F44" s="112">
        <v>3182125.2199999997</v>
      </c>
    </row>
    <row r="45" spans="1:6" ht="20.25" x14ac:dyDescent="0.3">
      <c r="A45" s="4">
        <v>34</v>
      </c>
      <c r="B45" s="3" t="s">
        <v>1000</v>
      </c>
      <c r="C45" s="78">
        <v>320</v>
      </c>
      <c r="D45" s="79">
        <v>21</v>
      </c>
      <c r="E45" s="80">
        <v>1</v>
      </c>
      <c r="F45" s="112">
        <v>522383.64</v>
      </c>
    </row>
    <row r="46" spans="1:6" ht="20.25" x14ac:dyDescent="0.3">
      <c r="A46" s="4">
        <v>35</v>
      </c>
      <c r="B46" s="3" t="s">
        <v>967</v>
      </c>
      <c r="C46" s="112">
        <v>6463.98</v>
      </c>
      <c r="D46" s="80">
        <v>243</v>
      </c>
      <c r="E46" s="80">
        <v>5</v>
      </c>
      <c r="F46" s="112">
        <v>18514841.960000001</v>
      </c>
    </row>
    <row r="47" spans="1:6" ht="20.25" x14ac:dyDescent="0.3">
      <c r="A47" s="4">
        <v>36</v>
      </c>
      <c r="B47" s="3" t="s">
        <v>970</v>
      </c>
      <c r="C47" s="78">
        <v>2767.4</v>
      </c>
      <c r="D47" s="79">
        <v>148</v>
      </c>
      <c r="E47" s="80">
        <v>1</v>
      </c>
      <c r="F47" s="112">
        <v>5141890.2</v>
      </c>
    </row>
    <row r="48" spans="1:6" ht="20.25" x14ac:dyDescent="0.3">
      <c r="A48" s="4">
        <v>37</v>
      </c>
      <c r="B48" s="3" t="s">
        <v>976</v>
      </c>
      <c r="C48" s="78">
        <v>21697.839999999997</v>
      </c>
      <c r="D48" s="79">
        <v>751</v>
      </c>
      <c r="E48" s="80">
        <v>4</v>
      </c>
      <c r="F48" s="112">
        <v>21864677.539999999</v>
      </c>
    </row>
    <row r="49" spans="1:6" ht="20.25" x14ac:dyDescent="0.3">
      <c r="A49" s="4">
        <v>38</v>
      </c>
      <c r="B49" s="3" t="s">
        <v>971</v>
      </c>
      <c r="C49" s="78">
        <v>21187.5</v>
      </c>
      <c r="D49" s="79">
        <v>986</v>
      </c>
      <c r="E49" s="80">
        <v>7</v>
      </c>
      <c r="F49" s="112">
        <v>34570625.039999999</v>
      </c>
    </row>
    <row r="50" spans="1:6" ht="20.25" x14ac:dyDescent="0.3">
      <c r="A50" s="4">
        <v>39</v>
      </c>
      <c r="B50" s="3" t="s">
        <v>972</v>
      </c>
      <c r="C50" s="78">
        <v>5121.21</v>
      </c>
      <c r="D50" s="79">
        <v>162</v>
      </c>
      <c r="E50" s="80">
        <v>5</v>
      </c>
      <c r="F50" s="112">
        <v>12742956.99</v>
      </c>
    </row>
    <row r="51" spans="1:6" ht="20.25" x14ac:dyDescent="0.3">
      <c r="A51" s="4">
        <v>40</v>
      </c>
      <c r="B51" s="3" t="s">
        <v>973</v>
      </c>
      <c r="C51" s="78">
        <v>1488.6</v>
      </c>
      <c r="D51" s="79">
        <v>67</v>
      </c>
      <c r="E51" s="80">
        <v>2</v>
      </c>
      <c r="F51" s="112">
        <v>6025381.3300000001</v>
      </c>
    </row>
    <row r="52" spans="1:6" ht="20.25" x14ac:dyDescent="0.3">
      <c r="A52" s="4">
        <v>41</v>
      </c>
      <c r="B52" s="3" t="s">
        <v>975</v>
      </c>
      <c r="C52" s="78">
        <v>14074.8</v>
      </c>
      <c r="D52" s="79">
        <v>602</v>
      </c>
      <c r="E52" s="80">
        <v>9</v>
      </c>
      <c r="F52" s="112">
        <v>29961094.709999993</v>
      </c>
    </row>
    <row r="53" spans="1:6" ht="20.25" x14ac:dyDescent="0.3">
      <c r="A53" s="4">
        <v>42</v>
      </c>
      <c r="B53" s="3" t="s">
        <v>1003</v>
      </c>
      <c r="C53" s="78">
        <v>609.5</v>
      </c>
      <c r="D53" s="79">
        <v>16</v>
      </c>
      <c r="E53" s="80">
        <v>1</v>
      </c>
      <c r="F53" s="112">
        <v>2521615.3599999999</v>
      </c>
    </row>
    <row r="54" spans="1:6" ht="20.25" x14ac:dyDescent="0.3">
      <c r="A54" s="4">
        <v>43</v>
      </c>
      <c r="B54" s="3" t="s">
        <v>974</v>
      </c>
      <c r="C54" s="78">
        <v>878.6</v>
      </c>
      <c r="D54" s="79">
        <v>65</v>
      </c>
      <c r="E54" s="80">
        <v>1</v>
      </c>
      <c r="F54" s="112">
        <v>3726576.42</v>
      </c>
    </row>
    <row r="55" spans="1:6" ht="20.25" x14ac:dyDescent="0.3">
      <c r="A55" s="4">
        <v>44</v>
      </c>
      <c r="B55" s="3" t="s">
        <v>977</v>
      </c>
      <c r="C55" s="112">
        <v>940.6</v>
      </c>
      <c r="D55" s="80">
        <v>33</v>
      </c>
      <c r="E55" s="80">
        <v>1</v>
      </c>
      <c r="F55" s="112">
        <v>5198352.66</v>
      </c>
    </row>
    <row r="56" spans="1:6" ht="20.25" x14ac:dyDescent="0.3">
      <c r="A56" s="4">
        <v>45</v>
      </c>
      <c r="B56" s="3" t="s">
        <v>1015</v>
      </c>
      <c r="C56" s="112">
        <v>320</v>
      </c>
      <c r="D56" s="80">
        <v>19</v>
      </c>
      <c r="E56" s="80">
        <v>1</v>
      </c>
      <c r="F56" s="112">
        <v>1821119.2799999998</v>
      </c>
    </row>
    <row r="57" spans="1:6" ht="20.25" x14ac:dyDescent="0.3">
      <c r="A57" s="4">
        <v>46</v>
      </c>
      <c r="B57" s="3" t="s">
        <v>1443</v>
      </c>
      <c r="C57" s="112">
        <v>953.9</v>
      </c>
      <c r="D57" s="80">
        <v>28</v>
      </c>
      <c r="E57" s="80">
        <v>1</v>
      </c>
      <c r="F57" s="112">
        <v>4609049.76</v>
      </c>
    </row>
    <row r="58" spans="1:6" ht="20.25" x14ac:dyDescent="0.3">
      <c r="A58" s="4">
        <v>47</v>
      </c>
      <c r="B58" s="3" t="s">
        <v>1004</v>
      </c>
      <c r="C58" s="112">
        <v>1446.38</v>
      </c>
      <c r="D58" s="80">
        <v>93</v>
      </c>
      <c r="E58" s="80">
        <v>1</v>
      </c>
      <c r="F58" s="112">
        <v>5368567.4000000004</v>
      </c>
    </row>
    <row r="59" spans="1:6" ht="20.25" x14ac:dyDescent="0.3">
      <c r="A59" s="4">
        <v>48</v>
      </c>
      <c r="B59" s="3" t="s">
        <v>1016</v>
      </c>
      <c r="C59" s="78">
        <v>676.3</v>
      </c>
      <c r="D59" s="79">
        <v>33</v>
      </c>
      <c r="E59" s="80">
        <v>1</v>
      </c>
      <c r="F59" s="112">
        <v>2682382.0500000003</v>
      </c>
    </row>
    <row r="60" spans="1:6" ht="20.25" x14ac:dyDescent="0.3">
      <c r="A60" s="4">
        <v>49</v>
      </c>
      <c r="B60" s="3" t="s">
        <v>980</v>
      </c>
      <c r="C60" s="113">
        <v>3415.58</v>
      </c>
      <c r="D60" s="114">
        <v>141</v>
      </c>
      <c r="E60" s="80">
        <v>5</v>
      </c>
      <c r="F60" s="112">
        <v>11742480.740000002</v>
      </c>
    </row>
    <row r="61" spans="1:6" ht="20.25" x14ac:dyDescent="0.3">
      <c r="A61" s="4">
        <v>50</v>
      </c>
      <c r="B61" s="3" t="s">
        <v>1006</v>
      </c>
      <c r="C61" s="112">
        <v>39848.200000000004</v>
      </c>
      <c r="D61" s="80">
        <v>1332</v>
      </c>
      <c r="E61" s="80">
        <v>11</v>
      </c>
      <c r="F61" s="112">
        <v>43274846.739999995</v>
      </c>
    </row>
    <row r="62" spans="1:6" ht="20.25" x14ac:dyDescent="0.3">
      <c r="A62" s="4">
        <v>51</v>
      </c>
      <c r="B62" s="3" t="s">
        <v>982</v>
      </c>
      <c r="C62" s="78">
        <v>33276.850000000006</v>
      </c>
      <c r="D62" s="79">
        <v>1281</v>
      </c>
      <c r="E62" s="80">
        <v>8</v>
      </c>
      <c r="F62" s="112">
        <v>38327194.07</v>
      </c>
    </row>
    <row r="63" spans="1:6" ht="20.25" x14ac:dyDescent="0.3">
      <c r="A63" s="4">
        <v>52</v>
      </c>
      <c r="B63" s="3" t="s">
        <v>1444</v>
      </c>
      <c r="C63" s="78">
        <v>720.74</v>
      </c>
      <c r="D63" s="79">
        <v>19</v>
      </c>
      <c r="E63" s="80">
        <v>1</v>
      </c>
      <c r="F63" s="112">
        <v>2298882.5099999998</v>
      </c>
    </row>
    <row r="64" spans="1:6" ht="20.25" x14ac:dyDescent="0.3">
      <c r="A64" s="4">
        <v>53</v>
      </c>
      <c r="B64" s="3" t="s">
        <v>1441</v>
      </c>
      <c r="C64" s="78">
        <v>970.5</v>
      </c>
      <c r="D64" s="79">
        <v>38</v>
      </c>
      <c r="E64" s="80">
        <v>1</v>
      </c>
      <c r="F64" s="112">
        <v>467593.97</v>
      </c>
    </row>
    <row r="65" spans="1:10" ht="20.25" x14ac:dyDescent="0.3">
      <c r="A65" s="4">
        <v>54</v>
      </c>
      <c r="B65" s="3" t="s">
        <v>983</v>
      </c>
      <c r="C65" s="78">
        <v>3040.6</v>
      </c>
      <c r="D65" s="79">
        <v>115</v>
      </c>
      <c r="E65" s="80">
        <v>5</v>
      </c>
      <c r="F65" s="112">
        <v>11081040.970000001</v>
      </c>
    </row>
    <row r="66" spans="1:10" ht="20.25" x14ac:dyDescent="0.3">
      <c r="A66" s="4">
        <v>55</v>
      </c>
      <c r="B66" s="3" t="s">
        <v>984</v>
      </c>
      <c r="C66" s="112">
        <v>1191.0999999999999</v>
      </c>
      <c r="D66" s="80">
        <v>31</v>
      </c>
      <c r="E66" s="80">
        <v>1</v>
      </c>
      <c r="F66" s="112">
        <v>3314283.2199999997</v>
      </c>
    </row>
    <row r="67" spans="1:10" ht="20.25" x14ac:dyDescent="0.3">
      <c r="A67" s="4">
        <v>56</v>
      </c>
      <c r="B67" s="3" t="s">
        <v>985</v>
      </c>
      <c r="C67" s="78">
        <v>706</v>
      </c>
      <c r="D67" s="79">
        <v>41</v>
      </c>
      <c r="E67" s="80">
        <v>1</v>
      </c>
      <c r="F67" s="112">
        <v>3133080</v>
      </c>
    </row>
    <row r="68" spans="1:10" ht="20.25" x14ac:dyDescent="0.3">
      <c r="A68" s="4">
        <v>57</v>
      </c>
      <c r="B68" s="3" t="s">
        <v>986</v>
      </c>
      <c r="C68" s="78">
        <v>2004.4</v>
      </c>
      <c r="D68" s="79">
        <v>67</v>
      </c>
      <c r="E68" s="80">
        <v>1</v>
      </c>
      <c r="F68" s="112">
        <v>5968517.3999999994</v>
      </c>
    </row>
    <row r="69" spans="1:10" ht="20.25" x14ac:dyDescent="0.3">
      <c r="A69" s="4">
        <v>58</v>
      </c>
      <c r="B69" s="3" t="s">
        <v>1008</v>
      </c>
      <c r="C69" s="78">
        <v>702.7</v>
      </c>
      <c r="D69" s="79">
        <v>34</v>
      </c>
      <c r="E69" s="80">
        <v>1</v>
      </c>
      <c r="F69" s="112">
        <v>3253210.4899999998</v>
      </c>
    </row>
    <row r="70" spans="1:10" ht="20.25" x14ac:dyDescent="0.3">
      <c r="A70" s="4">
        <v>59</v>
      </c>
      <c r="B70" s="3" t="s">
        <v>1445</v>
      </c>
      <c r="C70" s="78">
        <v>853.8</v>
      </c>
      <c r="D70" s="79">
        <v>38</v>
      </c>
      <c r="E70" s="80">
        <v>1</v>
      </c>
      <c r="F70" s="112">
        <v>2309984.35</v>
      </c>
    </row>
    <row r="71" spans="1:10" ht="20.25" x14ac:dyDescent="0.3">
      <c r="A71" s="4">
        <v>60</v>
      </c>
      <c r="B71" s="3" t="s">
        <v>987</v>
      </c>
      <c r="C71" s="78">
        <v>3456.2</v>
      </c>
      <c r="D71" s="79">
        <v>132</v>
      </c>
      <c r="E71" s="80">
        <v>6</v>
      </c>
      <c r="F71" s="112">
        <v>7354613.0300000003</v>
      </c>
    </row>
    <row r="72" spans="1:10" ht="20.25" x14ac:dyDescent="0.3">
      <c r="A72" s="4">
        <v>61</v>
      </c>
      <c r="B72" s="3" t="s">
        <v>988</v>
      </c>
      <c r="C72" s="78">
        <v>1755.2</v>
      </c>
      <c r="D72" s="79">
        <v>63</v>
      </c>
      <c r="E72" s="80">
        <v>1</v>
      </c>
      <c r="F72" s="112">
        <v>5403513.4500000002</v>
      </c>
    </row>
    <row r="73" spans="1:10" ht="20.25" x14ac:dyDescent="0.3">
      <c r="A73" s="4">
        <v>62</v>
      </c>
      <c r="B73" s="3" t="s">
        <v>1009</v>
      </c>
      <c r="C73" s="78">
        <v>4920.8999999999996</v>
      </c>
      <c r="D73" s="79">
        <v>133</v>
      </c>
      <c r="E73" s="80">
        <v>2</v>
      </c>
      <c r="F73" s="112">
        <v>8957085.8399999999</v>
      </c>
    </row>
    <row r="74" spans="1:10" ht="20.25" x14ac:dyDescent="0.3">
      <c r="A74" s="4">
        <v>63</v>
      </c>
      <c r="B74" s="3" t="s">
        <v>989</v>
      </c>
      <c r="C74" s="78">
        <v>428.4</v>
      </c>
      <c r="D74" s="79">
        <v>20</v>
      </c>
      <c r="E74" s="80">
        <v>1</v>
      </c>
      <c r="F74" s="112">
        <v>2733218.92</v>
      </c>
    </row>
    <row r="75" spans="1:10" ht="20.25" x14ac:dyDescent="0.3">
      <c r="A75" s="4">
        <v>64</v>
      </c>
      <c r="B75" s="3" t="s">
        <v>991</v>
      </c>
      <c r="C75" s="78">
        <v>11982.3</v>
      </c>
      <c r="D75" s="79">
        <v>561</v>
      </c>
      <c r="E75" s="80">
        <v>8</v>
      </c>
      <c r="F75" s="112">
        <v>18660147.93</v>
      </c>
    </row>
    <row r="76" spans="1:10" ht="20.25" x14ac:dyDescent="0.3">
      <c r="A76" s="4">
        <v>65</v>
      </c>
      <c r="B76" s="3" t="s">
        <v>992</v>
      </c>
      <c r="C76" s="78">
        <v>3295.2</v>
      </c>
      <c r="D76" s="79">
        <v>81</v>
      </c>
      <c r="E76" s="80">
        <v>5</v>
      </c>
      <c r="F76" s="112">
        <v>7944432.1499999994</v>
      </c>
    </row>
    <row r="77" spans="1:10" ht="20.25" x14ac:dyDescent="0.3">
      <c r="A77" s="4">
        <v>66</v>
      </c>
      <c r="B77" s="3" t="s">
        <v>1017</v>
      </c>
      <c r="C77" s="78">
        <v>1634.9</v>
      </c>
      <c r="D77" s="79">
        <v>75</v>
      </c>
      <c r="E77" s="80">
        <v>3</v>
      </c>
      <c r="F77" s="112">
        <v>786720.65</v>
      </c>
    </row>
    <row r="78" spans="1:10" ht="20.25" x14ac:dyDescent="0.3">
      <c r="A78" s="4">
        <v>67</v>
      </c>
      <c r="B78" s="3" t="s">
        <v>1010</v>
      </c>
      <c r="C78" s="78">
        <v>317.39999999999998</v>
      </c>
      <c r="D78" s="79">
        <v>17</v>
      </c>
      <c r="E78" s="80">
        <v>1</v>
      </c>
      <c r="F78" s="112">
        <v>1568000</v>
      </c>
    </row>
    <row r="79" spans="1:10" ht="20.25" x14ac:dyDescent="0.3">
      <c r="A79" s="3" t="s">
        <v>797</v>
      </c>
      <c r="B79" s="3"/>
      <c r="C79" s="78">
        <f>SUM(C80:C135)</f>
        <v>802158.69000000018</v>
      </c>
      <c r="D79" s="79">
        <f>SUM(D80:D135)</f>
        <v>30851</v>
      </c>
      <c r="E79" s="80">
        <f>SUM(E80:E135)</f>
        <v>305</v>
      </c>
      <c r="F79" s="78">
        <f>SUM(F80:F135)</f>
        <v>799638471.25999999</v>
      </c>
    </row>
    <row r="80" spans="1:10" ht="20.25" x14ac:dyDescent="0.3">
      <c r="A80" s="4">
        <v>1</v>
      </c>
      <c r="B80" s="3" t="s">
        <v>1031</v>
      </c>
      <c r="C80" s="78">
        <v>404972.00000000006</v>
      </c>
      <c r="D80" s="79">
        <v>16239</v>
      </c>
      <c r="E80" s="80">
        <v>113</v>
      </c>
      <c r="F80" s="112">
        <v>225509821.20999989</v>
      </c>
      <c r="H80" s="6">
        <v>209231.22999999995</v>
      </c>
      <c r="I80" s="6">
        <v>8552</v>
      </c>
      <c r="J80" s="6">
        <v>216853215.43000004</v>
      </c>
    </row>
    <row r="81" spans="1:10" ht="20.25" x14ac:dyDescent="0.3">
      <c r="A81" s="4">
        <v>2</v>
      </c>
      <c r="B81" s="3" t="s">
        <v>936</v>
      </c>
      <c r="C81" s="78">
        <v>21093.399999999998</v>
      </c>
      <c r="D81" s="79">
        <v>882</v>
      </c>
      <c r="E81" s="80">
        <v>14</v>
      </c>
      <c r="F81" s="112">
        <v>53022412.590000004</v>
      </c>
      <c r="H81" s="6">
        <v>15519.199999999999</v>
      </c>
      <c r="I81" s="6">
        <v>787</v>
      </c>
      <c r="J81" s="6">
        <v>45048314.759999998</v>
      </c>
    </row>
    <row r="82" spans="1:10" ht="20.25" x14ac:dyDescent="0.3">
      <c r="A82" s="4">
        <v>3</v>
      </c>
      <c r="B82" s="3" t="s">
        <v>937</v>
      </c>
      <c r="C82" s="78">
        <v>101227.12999999998</v>
      </c>
      <c r="D82" s="79">
        <v>4156</v>
      </c>
      <c r="E82" s="80">
        <v>55</v>
      </c>
      <c r="F82" s="112">
        <v>95396897.950000003</v>
      </c>
      <c r="H82" s="6">
        <v>55253.150000000009</v>
      </c>
      <c r="I82" s="6">
        <v>2316</v>
      </c>
      <c r="J82" s="6">
        <v>91626897.959999993</v>
      </c>
    </row>
    <row r="83" spans="1:10" ht="20.25" x14ac:dyDescent="0.3">
      <c r="A83" s="4">
        <v>4</v>
      </c>
      <c r="B83" s="3" t="s">
        <v>993</v>
      </c>
      <c r="C83" s="78">
        <v>71756.509999999995</v>
      </c>
      <c r="D83" s="79">
        <v>2292</v>
      </c>
      <c r="E83" s="80">
        <v>20</v>
      </c>
      <c r="F83" s="112">
        <v>43029746.93</v>
      </c>
      <c r="H83" s="6">
        <v>26773.05</v>
      </c>
      <c r="I83" s="6">
        <v>869</v>
      </c>
      <c r="J83" s="6">
        <v>44137673.120000005</v>
      </c>
    </row>
    <row r="84" spans="1:10" ht="20.25" x14ac:dyDescent="0.3">
      <c r="A84" s="4">
        <v>5</v>
      </c>
      <c r="B84" s="3" t="s">
        <v>939</v>
      </c>
      <c r="C84" s="78">
        <v>16666.5</v>
      </c>
      <c r="D84" s="79">
        <v>711</v>
      </c>
      <c r="E84" s="80">
        <v>3</v>
      </c>
      <c r="F84" s="112">
        <v>21856214.649999999</v>
      </c>
      <c r="H84" s="6">
        <v>13712.7</v>
      </c>
      <c r="I84" s="6">
        <v>336</v>
      </c>
      <c r="J84" s="6">
        <v>21856214.650000002</v>
      </c>
    </row>
    <row r="85" spans="1:10" ht="20.25" x14ac:dyDescent="0.3">
      <c r="A85" s="4">
        <v>6</v>
      </c>
      <c r="B85" s="3" t="s">
        <v>940</v>
      </c>
      <c r="C85" s="78">
        <v>31823.470000000005</v>
      </c>
      <c r="D85" s="79">
        <v>1112</v>
      </c>
      <c r="E85" s="80">
        <v>13</v>
      </c>
      <c r="F85" s="112">
        <v>55019080.369999997</v>
      </c>
      <c r="H85" s="6">
        <v>45913.430000000008</v>
      </c>
      <c r="I85" s="6">
        <v>1959</v>
      </c>
      <c r="J85" s="6">
        <v>51679396.32</v>
      </c>
    </row>
    <row r="86" spans="1:10" ht="20.25" x14ac:dyDescent="0.3">
      <c r="A86" s="4">
        <v>7</v>
      </c>
      <c r="B86" s="3" t="s">
        <v>941</v>
      </c>
      <c r="C86" s="78">
        <v>12179.5</v>
      </c>
      <c r="D86" s="79">
        <v>420</v>
      </c>
      <c r="E86" s="80">
        <v>2</v>
      </c>
      <c r="F86" s="112">
        <v>10075097.600000001</v>
      </c>
      <c r="H86" s="6">
        <v>11170.900000000001</v>
      </c>
      <c r="I86" s="6">
        <v>305</v>
      </c>
      <c r="J86" s="6">
        <v>9890638.1399999987</v>
      </c>
    </row>
    <row r="87" spans="1:10" ht="20.25" x14ac:dyDescent="0.3">
      <c r="A87" s="4">
        <v>8</v>
      </c>
      <c r="B87" s="3" t="s">
        <v>942</v>
      </c>
      <c r="C87" s="78">
        <v>3741.9999999999995</v>
      </c>
      <c r="D87" s="79">
        <v>153</v>
      </c>
      <c r="E87" s="80">
        <v>4</v>
      </c>
      <c r="F87" s="112">
        <v>13069363.829999998</v>
      </c>
      <c r="H87" s="6">
        <v>4408.6000000000004</v>
      </c>
      <c r="I87" s="6">
        <v>120</v>
      </c>
      <c r="J87" s="6">
        <v>11422752.699999999</v>
      </c>
    </row>
    <row r="88" spans="1:10" ht="20.25" x14ac:dyDescent="0.3">
      <c r="A88" s="4">
        <v>9</v>
      </c>
      <c r="B88" s="3" t="s">
        <v>943</v>
      </c>
      <c r="C88" s="78">
        <v>6782.4000000000005</v>
      </c>
      <c r="D88" s="79">
        <v>246</v>
      </c>
      <c r="E88" s="80">
        <v>2</v>
      </c>
      <c r="F88" s="112">
        <v>9045880.0099999998</v>
      </c>
      <c r="H88" s="6">
        <v>8897</v>
      </c>
      <c r="I88" s="6">
        <v>313</v>
      </c>
      <c r="J88" s="6">
        <v>9642280</v>
      </c>
    </row>
    <row r="89" spans="1:10" ht="20.25" x14ac:dyDescent="0.3">
      <c r="A89" s="4">
        <v>10</v>
      </c>
      <c r="B89" s="3" t="s">
        <v>944</v>
      </c>
      <c r="C89" s="78">
        <v>2780.7</v>
      </c>
      <c r="D89" s="79">
        <v>103</v>
      </c>
      <c r="E89" s="80">
        <v>1</v>
      </c>
      <c r="F89" s="112">
        <v>2579501.7000000002</v>
      </c>
      <c r="H89" s="6">
        <v>804.5</v>
      </c>
      <c r="I89" s="6">
        <v>47</v>
      </c>
      <c r="J89" s="6">
        <v>4369866.08</v>
      </c>
    </row>
    <row r="90" spans="1:10" ht="20.25" x14ac:dyDescent="0.3">
      <c r="A90" s="4">
        <v>11</v>
      </c>
      <c r="B90" s="3" t="s">
        <v>946</v>
      </c>
      <c r="C90" s="78">
        <v>983.7</v>
      </c>
      <c r="D90" s="79">
        <v>39</v>
      </c>
      <c r="E90" s="80">
        <v>2</v>
      </c>
      <c r="F90" s="112">
        <v>3008567.42</v>
      </c>
      <c r="H90" s="6">
        <v>1070.8</v>
      </c>
      <c r="I90" s="6">
        <v>42</v>
      </c>
      <c r="J90" s="6">
        <v>2936950.21</v>
      </c>
    </row>
    <row r="91" spans="1:10" ht="20.25" x14ac:dyDescent="0.3">
      <c r="A91" s="4">
        <v>12</v>
      </c>
      <c r="B91" s="3" t="s">
        <v>994</v>
      </c>
      <c r="C91" s="78">
        <v>618.29999999999995</v>
      </c>
      <c r="D91" s="79">
        <v>30</v>
      </c>
      <c r="E91" s="80">
        <v>1</v>
      </c>
      <c r="F91" s="112">
        <v>3080948</v>
      </c>
      <c r="H91" s="6">
        <v>1426.8</v>
      </c>
      <c r="I91" s="6">
        <v>72</v>
      </c>
      <c r="J91" s="6">
        <v>2773728.46</v>
      </c>
    </row>
    <row r="92" spans="1:10" ht="20.25" x14ac:dyDescent="0.3">
      <c r="A92" s="4">
        <v>13</v>
      </c>
      <c r="B92" s="3" t="s">
        <v>948</v>
      </c>
      <c r="C92" s="78">
        <v>3085.8</v>
      </c>
      <c r="D92" s="79">
        <v>144</v>
      </c>
      <c r="E92" s="80">
        <v>1</v>
      </c>
      <c r="F92" s="112">
        <v>2000000</v>
      </c>
      <c r="H92" s="6">
        <v>456.6</v>
      </c>
      <c r="I92" s="6">
        <v>26</v>
      </c>
      <c r="J92" s="6">
        <v>2158336.3499999996</v>
      </c>
    </row>
    <row r="93" spans="1:10" ht="20.25" x14ac:dyDescent="0.3">
      <c r="A93" s="4">
        <v>14</v>
      </c>
      <c r="B93" s="3" t="s">
        <v>949</v>
      </c>
      <c r="C93" s="78">
        <v>16441</v>
      </c>
      <c r="D93" s="79">
        <v>486</v>
      </c>
      <c r="E93" s="80">
        <v>6</v>
      </c>
      <c r="F93" s="112">
        <v>23342012.82</v>
      </c>
      <c r="H93" s="6">
        <v>3374.6</v>
      </c>
      <c r="I93" s="6">
        <v>144</v>
      </c>
      <c r="J93" s="6">
        <v>2000000</v>
      </c>
    </row>
    <row r="94" spans="1:10" ht="20.25" x14ac:dyDescent="0.3">
      <c r="A94" s="4">
        <v>15</v>
      </c>
      <c r="B94" s="3" t="s">
        <v>950</v>
      </c>
      <c r="C94" s="78">
        <v>5350.31</v>
      </c>
      <c r="D94" s="79">
        <v>213</v>
      </c>
      <c r="E94" s="80">
        <v>2</v>
      </c>
      <c r="F94" s="112">
        <v>11973050.91</v>
      </c>
      <c r="H94" s="6">
        <v>13638.6</v>
      </c>
      <c r="I94" s="6">
        <v>299</v>
      </c>
      <c r="J94" s="6">
        <v>23342011.919999998</v>
      </c>
    </row>
    <row r="95" spans="1:10" ht="20.25" x14ac:dyDescent="0.3">
      <c r="A95" s="4">
        <v>16</v>
      </c>
      <c r="B95" s="3" t="s">
        <v>1446</v>
      </c>
      <c r="C95" s="78">
        <v>1322.4</v>
      </c>
      <c r="D95" s="79">
        <v>36</v>
      </c>
      <c r="E95" s="80">
        <v>1</v>
      </c>
      <c r="F95" s="112">
        <v>3284631.43</v>
      </c>
      <c r="H95" s="6">
        <v>5759.0999999999995</v>
      </c>
      <c r="I95" s="6">
        <v>215</v>
      </c>
      <c r="J95" s="6">
        <v>12591900</v>
      </c>
    </row>
    <row r="96" spans="1:10" ht="20.25" x14ac:dyDescent="0.3">
      <c r="A96" s="4">
        <v>17</v>
      </c>
      <c r="B96" s="3" t="s">
        <v>995</v>
      </c>
      <c r="C96" s="78">
        <v>924.3</v>
      </c>
      <c r="D96" s="79">
        <v>24</v>
      </c>
      <c r="E96" s="80">
        <v>1</v>
      </c>
      <c r="F96" s="112">
        <v>2255220</v>
      </c>
      <c r="H96" s="6">
        <v>396.2</v>
      </c>
      <c r="I96" s="6">
        <v>21</v>
      </c>
      <c r="J96" s="6">
        <v>1724820</v>
      </c>
    </row>
    <row r="97" spans="1:10" ht="20.25" x14ac:dyDescent="0.3">
      <c r="A97" s="4">
        <v>18</v>
      </c>
      <c r="B97" s="3" t="s">
        <v>996</v>
      </c>
      <c r="C97" s="78">
        <v>622.4</v>
      </c>
      <c r="D97" s="79">
        <v>35</v>
      </c>
      <c r="E97" s="80">
        <v>1</v>
      </c>
      <c r="F97" s="112">
        <v>2610900</v>
      </c>
      <c r="H97" s="6">
        <v>1011.8</v>
      </c>
      <c r="I97" s="6">
        <v>26</v>
      </c>
      <c r="J97" s="6">
        <v>1739107.3499999999</v>
      </c>
    </row>
    <row r="98" spans="1:10" ht="20.25" x14ac:dyDescent="0.3">
      <c r="A98" s="4">
        <v>19</v>
      </c>
      <c r="B98" s="3" t="s">
        <v>997</v>
      </c>
      <c r="C98" s="78">
        <v>531.9</v>
      </c>
      <c r="D98" s="79">
        <v>22</v>
      </c>
      <c r="E98" s="80">
        <v>1</v>
      </c>
      <c r="F98" s="112">
        <v>3133080</v>
      </c>
      <c r="H98" s="6">
        <v>594.20000000000005</v>
      </c>
      <c r="I98" s="6">
        <v>23</v>
      </c>
      <c r="J98" s="6">
        <v>3373804.98</v>
      </c>
    </row>
    <row r="99" spans="1:10" ht="20.25" x14ac:dyDescent="0.3">
      <c r="A99" s="4">
        <v>20</v>
      </c>
      <c r="B99" s="3" t="s">
        <v>955</v>
      </c>
      <c r="C99" s="78">
        <v>7845.75</v>
      </c>
      <c r="D99" s="79">
        <v>225</v>
      </c>
      <c r="E99" s="80">
        <v>1</v>
      </c>
      <c r="F99" s="112">
        <v>7250046.1200000001</v>
      </c>
      <c r="H99" s="6">
        <v>906.9</v>
      </c>
      <c r="I99" s="6">
        <v>32</v>
      </c>
      <c r="J99" s="6">
        <v>3916350</v>
      </c>
    </row>
    <row r="100" spans="1:10" ht="20.25" x14ac:dyDescent="0.3">
      <c r="A100" s="4">
        <v>21</v>
      </c>
      <c r="B100" s="3" t="s">
        <v>956</v>
      </c>
      <c r="C100" s="78">
        <v>550.20000000000005</v>
      </c>
      <c r="D100" s="79">
        <v>20</v>
      </c>
      <c r="E100" s="80">
        <v>1</v>
      </c>
      <c r="F100" s="112">
        <v>2473090.71</v>
      </c>
      <c r="H100" s="6">
        <v>2184</v>
      </c>
      <c r="I100" s="6">
        <v>57</v>
      </c>
      <c r="J100" s="6">
        <v>3516578.96</v>
      </c>
    </row>
    <row r="101" spans="1:10" ht="20.25" x14ac:dyDescent="0.3">
      <c r="A101" s="4">
        <v>22</v>
      </c>
      <c r="B101" s="3" t="s">
        <v>998</v>
      </c>
      <c r="C101" s="78">
        <v>1206.8</v>
      </c>
      <c r="D101" s="79">
        <v>30</v>
      </c>
      <c r="E101" s="80">
        <v>1</v>
      </c>
      <c r="F101" s="112">
        <v>2622646.19</v>
      </c>
      <c r="H101" s="6">
        <v>1069.5</v>
      </c>
      <c r="I101" s="6">
        <v>39</v>
      </c>
      <c r="J101" s="6">
        <v>3598749.4899999998</v>
      </c>
    </row>
    <row r="102" spans="1:10" ht="20.25" x14ac:dyDescent="0.3">
      <c r="A102" s="4">
        <v>23</v>
      </c>
      <c r="B102" s="3" t="s">
        <v>959</v>
      </c>
      <c r="C102" s="78">
        <v>14693.869999999999</v>
      </c>
      <c r="D102" s="79">
        <v>542</v>
      </c>
      <c r="E102" s="80">
        <v>8</v>
      </c>
      <c r="F102" s="112">
        <v>29283340</v>
      </c>
      <c r="H102" s="6">
        <v>630</v>
      </c>
      <c r="I102" s="6">
        <v>32</v>
      </c>
      <c r="J102" s="6">
        <v>3488946.79</v>
      </c>
    </row>
    <row r="103" spans="1:10" ht="20.25" x14ac:dyDescent="0.3">
      <c r="A103" s="4">
        <v>24</v>
      </c>
      <c r="B103" s="3" t="s">
        <v>963</v>
      </c>
      <c r="C103" s="78">
        <v>791.5</v>
      </c>
      <c r="D103" s="79">
        <v>42</v>
      </c>
      <c r="E103" s="80">
        <v>1</v>
      </c>
      <c r="F103" s="112">
        <v>3328825.5</v>
      </c>
      <c r="H103" s="6">
        <v>626.5</v>
      </c>
      <c r="I103" s="6">
        <v>23</v>
      </c>
      <c r="J103" s="6">
        <v>1538879.17</v>
      </c>
    </row>
    <row r="104" spans="1:10" ht="20.25" x14ac:dyDescent="0.3">
      <c r="A104" s="4">
        <v>25</v>
      </c>
      <c r="B104" s="3" t="s">
        <v>962</v>
      </c>
      <c r="C104" s="78">
        <v>910.90000000000009</v>
      </c>
      <c r="D104" s="79">
        <v>39</v>
      </c>
      <c r="E104" s="80">
        <v>2</v>
      </c>
      <c r="F104" s="112">
        <v>5279138.41</v>
      </c>
      <c r="H104" s="6">
        <v>20161.96</v>
      </c>
      <c r="I104" s="6">
        <v>621</v>
      </c>
      <c r="J104" s="6">
        <v>28415186.600000001</v>
      </c>
    </row>
    <row r="105" spans="1:10" ht="20.25" x14ac:dyDescent="0.3">
      <c r="A105" s="4">
        <v>26</v>
      </c>
      <c r="B105" s="3" t="s">
        <v>999</v>
      </c>
      <c r="C105" s="78">
        <v>960.39</v>
      </c>
      <c r="D105" s="79">
        <v>48</v>
      </c>
      <c r="E105" s="80">
        <v>1</v>
      </c>
      <c r="F105" s="112">
        <v>4178956.32</v>
      </c>
      <c r="H105" s="6">
        <v>1573</v>
      </c>
      <c r="I105" s="6">
        <v>68</v>
      </c>
      <c r="J105" s="6">
        <v>5777967.8699999992</v>
      </c>
    </row>
    <row r="106" spans="1:10" ht="20.25" x14ac:dyDescent="0.3">
      <c r="A106" s="4">
        <v>27</v>
      </c>
      <c r="B106" s="3" t="s">
        <v>960</v>
      </c>
      <c r="C106" s="78">
        <v>388.8</v>
      </c>
      <c r="D106" s="79">
        <v>14</v>
      </c>
      <c r="E106" s="80">
        <v>1</v>
      </c>
      <c r="F106" s="112">
        <v>1889236.5</v>
      </c>
      <c r="H106" s="6">
        <v>1266.2</v>
      </c>
      <c r="I106" s="6">
        <v>52</v>
      </c>
      <c r="J106" s="6">
        <v>4715781.71</v>
      </c>
    </row>
    <row r="107" spans="1:10" ht="20.25" x14ac:dyDescent="0.3">
      <c r="A107" s="4">
        <v>28</v>
      </c>
      <c r="B107" s="3" t="s">
        <v>964</v>
      </c>
      <c r="C107" s="78">
        <v>3179.8</v>
      </c>
      <c r="D107" s="79">
        <v>106</v>
      </c>
      <c r="E107" s="80">
        <v>4</v>
      </c>
      <c r="F107" s="112">
        <v>10103503.050000001</v>
      </c>
      <c r="H107" s="6">
        <v>703.5</v>
      </c>
      <c r="I107" s="6">
        <v>36</v>
      </c>
      <c r="J107" s="6">
        <v>2590114.16</v>
      </c>
    </row>
    <row r="108" spans="1:10" ht="20.25" x14ac:dyDescent="0.3">
      <c r="A108" s="4">
        <v>29</v>
      </c>
      <c r="B108" s="3" t="s">
        <v>1000</v>
      </c>
      <c r="C108" s="78">
        <v>530.5</v>
      </c>
      <c r="D108" s="79">
        <v>25</v>
      </c>
      <c r="E108" s="80">
        <v>2</v>
      </c>
      <c r="F108" s="112">
        <v>2766932.97</v>
      </c>
      <c r="H108" s="6">
        <v>1217.2</v>
      </c>
      <c r="I108" s="6">
        <v>47</v>
      </c>
      <c r="J108" s="6">
        <v>1456533.11</v>
      </c>
    </row>
    <row r="109" spans="1:10" ht="20.25" x14ac:dyDescent="0.3">
      <c r="A109" s="4">
        <v>30</v>
      </c>
      <c r="B109" s="3" t="s">
        <v>1001</v>
      </c>
      <c r="C109" s="78">
        <v>654.5</v>
      </c>
      <c r="D109" s="79">
        <v>19</v>
      </c>
      <c r="E109" s="80">
        <v>1</v>
      </c>
      <c r="F109" s="112">
        <v>2568179.12</v>
      </c>
      <c r="H109" s="6">
        <v>1774</v>
      </c>
      <c r="I109" s="6">
        <v>80</v>
      </c>
      <c r="J109" s="6">
        <v>10290828.25</v>
      </c>
    </row>
    <row r="110" spans="1:10" ht="20.25" x14ac:dyDescent="0.3">
      <c r="A110" s="4">
        <v>31</v>
      </c>
      <c r="B110" s="3" t="s">
        <v>967</v>
      </c>
      <c r="C110" s="78">
        <v>1244.4000000000001</v>
      </c>
      <c r="D110" s="79">
        <v>34</v>
      </c>
      <c r="E110" s="80">
        <v>1</v>
      </c>
      <c r="F110" s="112">
        <v>2981647.8</v>
      </c>
      <c r="H110" s="6">
        <v>609</v>
      </c>
      <c r="I110" s="6">
        <v>31</v>
      </c>
      <c r="J110" s="6">
        <v>3013803.8600000003</v>
      </c>
    </row>
    <row r="111" spans="1:10" ht="20.25" x14ac:dyDescent="0.3">
      <c r="A111" s="4">
        <v>32</v>
      </c>
      <c r="B111" s="3" t="s">
        <v>1002</v>
      </c>
      <c r="C111" s="78">
        <v>948.2</v>
      </c>
      <c r="D111" s="79">
        <v>43</v>
      </c>
      <c r="E111" s="80">
        <v>1</v>
      </c>
      <c r="F111" s="112">
        <v>4290230.8800000008</v>
      </c>
      <c r="H111" s="6">
        <v>616</v>
      </c>
      <c r="I111" s="6">
        <v>21</v>
      </c>
      <c r="J111" s="6">
        <v>2036502</v>
      </c>
    </row>
    <row r="112" spans="1:10" ht="20.25" x14ac:dyDescent="0.3">
      <c r="A112" s="4">
        <v>33</v>
      </c>
      <c r="B112" s="3" t="s">
        <v>968</v>
      </c>
      <c r="C112" s="78">
        <v>779.2</v>
      </c>
      <c r="D112" s="79">
        <v>33</v>
      </c>
      <c r="E112" s="80">
        <v>1</v>
      </c>
      <c r="F112" s="112">
        <v>2903320.8000000003</v>
      </c>
      <c r="H112" s="6">
        <v>772.9</v>
      </c>
      <c r="I112" s="6">
        <v>32</v>
      </c>
      <c r="J112" s="6">
        <v>3592598.4</v>
      </c>
    </row>
    <row r="113" spans="1:10" ht="20.25" x14ac:dyDescent="0.3">
      <c r="A113" s="4">
        <v>34</v>
      </c>
      <c r="B113" s="3" t="s">
        <v>970</v>
      </c>
      <c r="C113" s="78">
        <v>1015.6</v>
      </c>
      <c r="D113" s="79">
        <v>47</v>
      </c>
      <c r="E113" s="80">
        <v>1</v>
      </c>
      <c r="F113" s="112">
        <v>3826397.3000000003</v>
      </c>
      <c r="H113" s="6">
        <v>976.3</v>
      </c>
      <c r="I113" s="6">
        <v>36</v>
      </c>
      <c r="J113" s="6">
        <v>4454195.3999999994</v>
      </c>
    </row>
    <row r="114" spans="1:10" ht="20.25" x14ac:dyDescent="0.3">
      <c r="A114" s="4">
        <v>35</v>
      </c>
      <c r="B114" s="3" t="s">
        <v>976</v>
      </c>
      <c r="C114" s="78">
        <v>5979.1</v>
      </c>
      <c r="D114" s="79">
        <v>217</v>
      </c>
      <c r="E114" s="80">
        <v>1</v>
      </c>
      <c r="F114" s="112">
        <v>5858309.4800000004</v>
      </c>
      <c r="H114" s="6">
        <v>781.7</v>
      </c>
      <c r="I114" s="6">
        <v>25</v>
      </c>
      <c r="J114" s="6">
        <v>4839701.7600000007</v>
      </c>
    </row>
    <row r="115" spans="1:10" ht="20.25" x14ac:dyDescent="0.3">
      <c r="A115" s="4">
        <v>36</v>
      </c>
      <c r="B115" s="3" t="s">
        <v>1003</v>
      </c>
      <c r="C115" s="78">
        <v>822.2</v>
      </c>
      <c r="D115" s="79">
        <v>34</v>
      </c>
      <c r="E115" s="80">
        <v>1</v>
      </c>
      <c r="F115" s="112">
        <v>3274450.4</v>
      </c>
      <c r="H115" s="6">
        <v>792.9</v>
      </c>
      <c r="I115" s="6">
        <v>42</v>
      </c>
      <c r="J115" s="6">
        <v>3231458.3</v>
      </c>
    </row>
    <row r="116" spans="1:10" ht="20.25" x14ac:dyDescent="0.3">
      <c r="A116" s="4">
        <v>37</v>
      </c>
      <c r="B116" s="3" t="s">
        <v>971</v>
      </c>
      <c r="C116" s="78">
        <v>5924.49</v>
      </c>
      <c r="D116" s="79">
        <v>259</v>
      </c>
      <c r="E116" s="80">
        <v>3</v>
      </c>
      <c r="F116" s="112">
        <v>12199052.439999999</v>
      </c>
      <c r="H116" s="6">
        <v>9443</v>
      </c>
      <c r="I116" s="6">
        <v>371</v>
      </c>
      <c r="J116" s="6">
        <v>16849360.93</v>
      </c>
    </row>
    <row r="117" spans="1:10" ht="20.25" x14ac:dyDescent="0.3">
      <c r="A117" s="4">
        <v>38</v>
      </c>
      <c r="B117" s="3" t="s">
        <v>972</v>
      </c>
      <c r="C117" s="78">
        <v>5889.36</v>
      </c>
      <c r="D117" s="79">
        <v>172</v>
      </c>
      <c r="E117" s="80">
        <v>1</v>
      </c>
      <c r="F117" s="112">
        <v>7408727.5099999998</v>
      </c>
      <c r="H117" s="6">
        <v>2168.41</v>
      </c>
      <c r="I117" s="6">
        <v>62</v>
      </c>
      <c r="J117" s="6">
        <v>3799734.79</v>
      </c>
    </row>
    <row r="118" spans="1:10" ht="20.25" x14ac:dyDescent="0.3">
      <c r="A118" s="4">
        <v>39</v>
      </c>
      <c r="B118" s="3" t="s">
        <v>973</v>
      </c>
      <c r="C118" s="78">
        <v>485.3</v>
      </c>
      <c r="D118" s="79">
        <v>24</v>
      </c>
      <c r="E118" s="80">
        <v>1</v>
      </c>
      <c r="F118" s="112">
        <v>2311215.4500000002</v>
      </c>
      <c r="H118" s="6">
        <v>780.3</v>
      </c>
      <c r="I118" s="6">
        <v>24</v>
      </c>
      <c r="J118" s="6">
        <v>2311215.4500000002</v>
      </c>
    </row>
    <row r="119" spans="1:10" ht="20.25" x14ac:dyDescent="0.3">
      <c r="A119" s="4">
        <v>40</v>
      </c>
      <c r="B119" s="3" t="s">
        <v>975</v>
      </c>
      <c r="C119" s="78">
        <v>4891.9000000000005</v>
      </c>
      <c r="D119" s="79">
        <v>172</v>
      </c>
      <c r="E119" s="80">
        <v>5</v>
      </c>
      <c r="F119" s="112">
        <v>16487311.32</v>
      </c>
      <c r="H119" s="6">
        <v>540.79999999999995</v>
      </c>
      <c r="I119" s="6">
        <v>15</v>
      </c>
      <c r="J119" s="6">
        <v>3215375.5700000003</v>
      </c>
    </row>
    <row r="120" spans="1:10" ht="20.25" x14ac:dyDescent="0.3">
      <c r="A120" s="4">
        <v>41</v>
      </c>
      <c r="B120" s="3" t="s">
        <v>977</v>
      </c>
      <c r="C120" s="78">
        <v>4053.7</v>
      </c>
      <c r="D120" s="79">
        <v>118</v>
      </c>
      <c r="E120" s="80">
        <v>2</v>
      </c>
      <c r="F120" s="112">
        <v>6032850.6600000001</v>
      </c>
      <c r="H120" s="6">
        <v>2550.6999999999998</v>
      </c>
      <c r="I120" s="6">
        <v>119</v>
      </c>
      <c r="J120" s="6">
        <v>10672314.84</v>
      </c>
    </row>
    <row r="121" spans="1:10" ht="20.25" x14ac:dyDescent="0.3">
      <c r="A121" s="4">
        <v>42</v>
      </c>
      <c r="B121" s="3" t="s">
        <v>1004</v>
      </c>
      <c r="C121" s="78">
        <v>545.34</v>
      </c>
      <c r="D121" s="79">
        <v>22</v>
      </c>
      <c r="E121" s="80">
        <v>1</v>
      </c>
      <c r="F121" s="112">
        <v>1799918.22</v>
      </c>
      <c r="H121" s="6">
        <v>5727.7</v>
      </c>
      <c r="I121" s="6">
        <v>188</v>
      </c>
      <c r="J121" s="6">
        <v>6053192.4699999997</v>
      </c>
    </row>
    <row r="122" spans="1:10" ht="20.25" x14ac:dyDescent="0.3">
      <c r="A122" s="4">
        <v>43</v>
      </c>
      <c r="B122" s="3" t="s">
        <v>1005</v>
      </c>
      <c r="C122" s="78">
        <v>2138.8000000000002</v>
      </c>
      <c r="D122" s="79">
        <v>56</v>
      </c>
      <c r="E122" s="80">
        <v>1</v>
      </c>
      <c r="F122" s="112">
        <v>3974620.0799999996</v>
      </c>
      <c r="H122" s="6">
        <v>1040.7</v>
      </c>
      <c r="I122" s="6">
        <v>44</v>
      </c>
      <c r="J122" s="6">
        <v>4804056</v>
      </c>
    </row>
    <row r="123" spans="1:10" ht="20.25" x14ac:dyDescent="0.3">
      <c r="A123" s="4">
        <v>44</v>
      </c>
      <c r="B123" s="3" t="s">
        <v>979</v>
      </c>
      <c r="C123" s="78">
        <v>1367.9</v>
      </c>
      <c r="D123" s="79">
        <v>64</v>
      </c>
      <c r="E123" s="80">
        <v>1</v>
      </c>
      <c r="F123" s="112">
        <v>2957808</v>
      </c>
      <c r="H123" s="6">
        <v>3554.5</v>
      </c>
      <c r="I123" s="6">
        <v>145</v>
      </c>
      <c r="J123" s="6">
        <v>7284801.9000000004</v>
      </c>
    </row>
    <row r="124" spans="1:10" ht="20.25" x14ac:dyDescent="0.3">
      <c r="A124" s="4">
        <v>45</v>
      </c>
      <c r="B124" s="3" t="s">
        <v>980</v>
      </c>
      <c r="C124" s="78">
        <v>2208.39</v>
      </c>
      <c r="D124" s="79">
        <v>74</v>
      </c>
      <c r="E124" s="80">
        <v>1</v>
      </c>
      <c r="F124" s="112">
        <v>4651054.3499999996</v>
      </c>
      <c r="H124" s="6">
        <v>2640.94</v>
      </c>
      <c r="I124" s="6">
        <v>88</v>
      </c>
      <c r="J124" s="6">
        <v>4011881.02</v>
      </c>
    </row>
    <row r="125" spans="1:10" ht="20.25" x14ac:dyDescent="0.3">
      <c r="A125" s="4">
        <v>46</v>
      </c>
      <c r="B125" s="3" t="s">
        <v>1006</v>
      </c>
      <c r="C125" s="78">
        <v>1501</v>
      </c>
      <c r="D125" s="79">
        <v>32</v>
      </c>
      <c r="E125" s="80">
        <v>1</v>
      </c>
      <c r="F125" s="112">
        <v>3145116.58</v>
      </c>
      <c r="H125" s="6">
        <v>4173.7</v>
      </c>
      <c r="I125" s="6">
        <v>171</v>
      </c>
      <c r="J125" s="6">
        <v>6026117.5699999994</v>
      </c>
    </row>
    <row r="126" spans="1:10" ht="20.25" x14ac:dyDescent="0.3">
      <c r="A126" s="4">
        <v>47</v>
      </c>
      <c r="B126" s="3" t="s">
        <v>982</v>
      </c>
      <c r="C126" s="78">
        <v>13890.4</v>
      </c>
      <c r="D126" s="79">
        <v>506</v>
      </c>
      <c r="E126" s="80">
        <v>3</v>
      </c>
      <c r="F126" s="112">
        <v>13767321.040000001</v>
      </c>
      <c r="H126" s="6">
        <v>8514.9</v>
      </c>
      <c r="I126" s="6">
        <v>327</v>
      </c>
      <c r="J126" s="6">
        <v>12459674.15</v>
      </c>
    </row>
    <row r="127" spans="1:10" ht="20.25" x14ac:dyDescent="0.3">
      <c r="A127" s="4">
        <v>48</v>
      </c>
      <c r="B127" s="3" t="s">
        <v>983</v>
      </c>
      <c r="C127" s="78">
        <v>4401.9799999999996</v>
      </c>
      <c r="D127" s="79">
        <v>148</v>
      </c>
      <c r="E127" s="80">
        <v>2</v>
      </c>
      <c r="F127" s="112">
        <v>9023270.3999999985</v>
      </c>
      <c r="H127" s="6">
        <v>14680.3</v>
      </c>
      <c r="I127" s="6">
        <v>685</v>
      </c>
      <c r="J127" s="6">
        <v>13993215.270000001</v>
      </c>
    </row>
    <row r="128" spans="1:10" ht="20.25" x14ac:dyDescent="0.3">
      <c r="A128" s="4">
        <v>49</v>
      </c>
      <c r="B128" s="3" t="s">
        <v>985</v>
      </c>
      <c r="C128" s="78">
        <v>708.1</v>
      </c>
      <c r="D128" s="79">
        <v>43</v>
      </c>
      <c r="E128" s="80">
        <v>1</v>
      </c>
      <c r="F128" s="112">
        <v>3080862</v>
      </c>
      <c r="H128" s="6">
        <v>4947</v>
      </c>
      <c r="I128" s="6">
        <v>164</v>
      </c>
      <c r="J128" s="6">
        <v>9221698.8000000007</v>
      </c>
    </row>
    <row r="129" spans="1:10" ht="20.25" x14ac:dyDescent="0.3">
      <c r="A129" s="4">
        <v>50</v>
      </c>
      <c r="B129" s="3" t="s">
        <v>1007</v>
      </c>
      <c r="C129" s="78">
        <v>788.3</v>
      </c>
      <c r="D129" s="79">
        <v>20</v>
      </c>
      <c r="E129" s="80">
        <v>1</v>
      </c>
      <c r="F129" s="112">
        <v>3655260</v>
      </c>
      <c r="H129" s="6">
        <v>726</v>
      </c>
      <c r="I129" s="6">
        <v>28</v>
      </c>
      <c r="J129" s="6">
        <v>3623929.1999999997</v>
      </c>
    </row>
    <row r="130" spans="1:10" ht="20.25" x14ac:dyDescent="0.3">
      <c r="A130" s="4">
        <v>51</v>
      </c>
      <c r="B130" s="3" t="s">
        <v>1008</v>
      </c>
      <c r="C130" s="78">
        <v>707.1</v>
      </c>
      <c r="D130" s="79">
        <v>32</v>
      </c>
      <c r="E130" s="80">
        <v>1</v>
      </c>
      <c r="F130" s="112">
        <v>3080862</v>
      </c>
      <c r="H130" s="6">
        <v>675.9</v>
      </c>
      <c r="I130" s="6">
        <v>32</v>
      </c>
      <c r="J130" s="6">
        <v>3080862</v>
      </c>
    </row>
    <row r="131" spans="1:10" ht="20.25" x14ac:dyDescent="0.3">
      <c r="A131" s="4">
        <v>52</v>
      </c>
      <c r="B131" s="3" t="s">
        <v>987</v>
      </c>
      <c r="C131" s="78">
        <v>2386.1999999999998</v>
      </c>
      <c r="D131" s="79">
        <v>70</v>
      </c>
      <c r="E131" s="80">
        <v>3</v>
      </c>
      <c r="F131" s="112">
        <v>7774419.2400000002</v>
      </c>
      <c r="H131" s="6">
        <v>611.5</v>
      </c>
      <c r="I131" s="6">
        <v>28</v>
      </c>
      <c r="J131" s="6">
        <v>2610892.59</v>
      </c>
    </row>
    <row r="132" spans="1:10" ht="20.25" x14ac:dyDescent="0.3">
      <c r="A132" s="4">
        <v>53</v>
      </c>
      <c r="B132" s="3" t="s">
        <v>1009</v>
      </c>
      <c r="C132" s="78">
        <v>834.7</v>
      </c>
      <c r="D132" s="79">
        <v>54</v>
      </c>
      <c r="E132" s="80">
        <v>1</v>
      </c>
      <c r="F132" s="112">
        <v>4275483</v>
      </c>
      <c r="H132" s="6">
        <v>789</v>
      </c>
      <c r="I132" s="6">
        <v>64</v>
      </c>
      <c r="J132" s="6">
        <v>3026194.08</v>
      </c>
    </row>
    <row r="133" spans="1:10" ht="20.25" x14ac:dyDescent="0.3">
      <c r="A133" s="4">
        <v>54</v>
      </c>
      <c r="B133" s="3" t="s">
        <v>991</v>
      </c>
      <c r="C133" s="78">
        <v>2424.8000000000002</v>
      </c>
      <c r="D133" s="79">
        <v>86</v>
      </c>
      <c r="E133" s="80">
        <v>2</v>
      </c>
      <c r="F133" s="112">
        <v>9113700</v>
      </c>
      <c r="H133" s="6">
        <v>351</v>
      </c>
      <c r="I133" s="6">
        <v>18</v>
      </c>
      <c r="J133" s="6">
        <v>3600600</v>
      </c>
    </row>
    <row r="134" spans="1:10" ht="20.25" x14ac:dyDescent="0.3">
      <c r="A134" s="4">
        <v>55</v>
      </c>
      <c r="B134" s="3" t="s">
        <v>992</v>
      </c>
      <c r="C134" s="78">
        <v>813.6</v>
      </c>
      <c r="D134" s="79">
        <v>16</v>
      </c>
      <c r="E134" s="80">
        <v>1</v>
      </c>
      <c r="F134" s="112">
        <v>3498600</v>
      </c>
      <c r="H134" s="6">
        <v>626</v>
      </c>
      <c r="I134" s="6">
        <v>23</v>
      </c>
      <c r="J134" s="6">
        <v>1917600</v>
      </c>
    </row>
    <row r="135" spans="1:10" ht="20.25" x14ac:dyDescent="0.3">
      <c r="A135" s="4">
        <v>56</v>
      </c>
      <c r="B135" s="3" t="s">
        <v>1010</v>
      </c>
      <c r="C135" s="78">
        <v>791.9</v>
      </c>
      <c r="D135" s="79">
        <v>22</v>
      </c>
      <c r="E135" s="81">
        <v>1</v>
      </c>
      <c r="F135" s="112">
        <v>3230340</v>
      </c>
      <c r="H135" s="6">
        <v>4977.8</v>
      </c>
      <c r="I135" s="6">
        <v>158</v>
      </c>
      <c r="J135" s="6">
        <v>14392200</v>
      </c>
    </row>
    <row r="136" spans="1:10" ht="20.25" x14ac:dyDescent="0.3">
      <c r="A136" s="3" t="s">
        <v>798</v>
      </c>
      <c r="B136" s="12"/>
      <c r="C136" s="78">
        <f>SUM(C137:C194)</f>
        <v>526307.17000000004</v>
      </c>
      <c r="D136" s="79">
        <f t="shared" ref="D136:F136" si="2">SUM(D137:D194)</f>
        <v>20282</v>
      </c>
      <c r="E136" s="79">
        <f>SUM(E137:E194)</f>
        <v>213</v>
      </c>
      <c r="F136" s="78">
        <f t="shared" si="2"/>
        <v>791169161.6500001</v>
      </c>
      <c r="H136" s="6">
        <v>715.9</v>
      </c>
      <c r="I136" s="6">
        <v>16</v>
      </c>
      <c r="J136" s="6">
        <v>3396600</v>
      </c>
    </row>
    <row r="137" spans="1:10" ht="20.25" x14ac:dyDescent="0.3">
      <c r="A137" s="4">
        <v>1</v>
      </c>
      <c r="B137" s="3" t="s">
        <v>1031</v>
      </c>
      <c r="C137" s="78">
        <v>211691.09999999998</v>
      </c>
      <c r="D137" s="79">
        <v>8735</v>
      </c>
      <c r="E137" s="81">
        <v>58</v>
      </c>
      <c r="F137" s="112">
        <v>216853215.33000001</v>
      </c>
      <c r="H137" s="6">
        <v>209231.22999999995</v>
      </c>
      <c r="I137" s="6">
        <v>8552</v>
      </c>
      <c r="J137" s="6">
        <v>216853215.43000004</v>
      </c>
    </row>
    <row r="138" spans="1:10" ht="20.25" x14ac:dyDescent="0.3">
      <c r="A138" s="4">
        <v>2</v>
      </c>
      <c r="B138" s="3" t="s">
        <v>936</v>
      </c>
      <c r="C138" s="78">
        <v>15288.199999999999</v>
      </c>
      <c r="D138" s="79">
        <v>768</v>
      </c>
      <c r="E138" s="80">
        <v>14</v>
      </c>
      <c r="F138" s="112">
        <v>45048314.759999998</v>
      </c>
      <c r="H138" s="6">
        <v>15519.199999999999</v>
      </c>
      <c r="I138" s="6">
        <v>787</v>
      </c>
      <c r="J138" s="6">
        <v>45048314.759999998</v>
      </c>
    </row>
    <row r="139" spans="1:10" ht="20.25" x14ac:dyDescent="0.3">
      <c r="A139" s="4">
        <v>3</v>
      </c>
      <c r="B139" s="3" t="s">
        <v>937</v>
      </c>
      <c r="C139" s="78">
        <v>55301.200000000004</v>
      </c>
      <c r="D139" s="79">
        <v>2316</v>
      </c>
      <c r="E139" s="80">
        <v>27</v>
      </c>
      <c r="F139" s="112">
        <v>91626897.959999993</v>
      </c>
      <c r="H139" s="6">
        <v>55253.150000000009</v>
      </c>
      <c r="I139" s="6">
        <v>2316</v>
      </c>
      <c r="J139" s="6">
        <v>91626897.959999993</v>
      </c>
    </row>
    <row r="140" spans="1:10" ht="20.25" x14ac:dyDescent="0.3">
      <c r="A140" s="4">
        <v>4</v>
      </c>
      <c r="B140" s="115" t="s">
        <v>938</v>
      </c>
      <c r="C140" s="78">
        <v>28484.610000000004</v>
      </c>
      <c r="D140" s="79">
        <v>845</v>
      </c>
      <c r="E140" s="80">
        <v>11</v>
      </c>
      <c r="F140" s="112">
        <v>46315599.309999995</v>
      </c>
      <c r="H140" s="6">
        <v>26773.05</v>
      </c>
      <c r="I140" s="6">
        <v>869</v>
      </c>
      <c r="J140" s="6">
        <v>44137673.120000005</v>
      </c>
    </row>
    <row r="141" spans="1:10" ht="20.25" x14ac:dyDescent="0.3">
      <c r="A141" s="4">
        <v>5</v>
      </c>
      <c r="B141" s="3" t="s">
        <v>939</v>
      </c>
      <c r="C141" s="78">
        <v>13712.7</v>
      </c>
      <c r="D141" s="79">
        <v>336</v>
      </c>
      <c r="E141" s="80">
        <v>2</v>
      </c>
      <c r="F141" s="112">
        <v>21856214.649999999</v>
      </c>
      <c r="H141" s="6">
        <v>13712.7</v>
      </c>
      <c r="I141" s="6">
        <v>336</v>
      </c>
      <c r="J141" s="6">
        <v>21856214.650000002</v>
      </c>
    </row>
    <row r="142" spans="1:10" ht="20.25" x14ac:dyDescent="0.3">
      <c r="A142" s="4">
        <v>6</v>
      </c>
      <c r="B142" s="3" t="s">
        <v>940</v>
      </c>
      <c r="C142" s="78">
        <v>45915.810000000005</v>
      </c>
      <c r="D142" s="79">
        <v>1959</v>
      </c>
      <c r="E142" s="80">
        <v>8</v>
      </c>
      <c r="F142" s="112">
        <v>51679396.32</v>
      </c>
      <c r="H142" s="6">
        <v>45913.430000000008</v>
      </c>
      <c r="I142" s="6">
        <v>1959</v>
      </c>
      <c r="J142" s="6">
        <v>51679396.32</v>
      </c>
    </row>
    <row r="143" spans="1:10" ht="20.25" x14ac:dyDescent="0.3">
      <c r="A143" s="4">
        <v>7</v>
      </c>
      <c r="B143" s="3" t="s">
        <v>941</v>
      </c>
      <c r="C143" s="78">
        <v>10321.200000000001</v>
      </c>
      <c r="D143" s="79">
        <v>281</v>
      </c>
      <c r="E143" s="80">
        <v>3</v>
      </c>
      <c r="F143" s="112">
        <v>9890638.1399999987</v>
      </c>
      <c r="H143" s="6">
        <v>11170.900000000001</v>
      </c>
      <c r="I143" s="6">
        <v>305</v>
      </c>
      <c r="J143" s="6">
        <v>9890638.1399999987</v>
      </c>
    </row>
    <row r="144" spans="1:10" ht="20.25" x14ac:dyDescent="0.3">
      <c r="A144" s="4">
        <v>8</v>
      </c>
      <c r="B144" s="3" t="s">
        <v>942</v>
      </c>
      <c r="C144" s="78">
        <v>4408.6000000000004</v>
      </c>
      <c r="D144" s="79">
        <v>120</v>
      </c>
      <c r="E144" s="80">
        <v>2</v>
      </c>
      <c r="F144" s="112">
        <v>11422752.699999999</v>
      </c>
      <c r="H144" s="6">
        <v>4408.6000000000004</v>
      </c>
      <c r="I144" s="6">
        <v>120</v>
      </c>
      <c r="J144" s="6">
        <v>11422752.699999999</v>
      </c>
    </row>
    <row r="145" spans="1:10" ht="20.25" x14ac:dyDescent="0.3">
      <c r="A145" s="4">
        <v>9</v>
      </c>
      <c r="B145" s="3" t="s">
        <v>943</v>
      </c>
      <c r="C145" s="78">
        <v>6442.65</v>
      </c>
      <c r="D145" s="79">
        <v>188</v>
      </c>
      <c r="E145" s="80">
        <v>2</v>
      </c>
      <c r="F145" s="112">
        <v>8756823</v>
      </c>
      <c r="H145" s="6">
        <v>8897</v>
      </c>
      <c r="I145" s="6">
        <v>313</v>
      </c>
      <c r="J145" s="6">
        <v>9642280</v>
      </c>
    </row>
    <row r="146" spans="1:10" ht="20.25" x14ac:dyDescent="0.3">
      <c r="A146" s="4">
        <v>10</v>
      </c>
      <c r="B146" s="3" t="s">
        <v>944</v>
      </c>
      <c r="C146" s="78">
        <v>1801.1</v>
      </c>
      <c r="D146" s="79">
        <v>15</v>
      </c>
      <c r="E146" s="80">
        <v>1</v>
      </c>
      <c r="F146" s="112">
        <v>4369866.08</v>
      </c>
      <c r="H146" s="6">
        <v>804.5</v>
      </c>
      <c r="I146" s="6">
        <v>47</v>
      </c>
      <c r="J146" s="6">
        <v>4369866.08</v>
      </c>
    </row>
    <row r="147" spans="1:10" ht="20.25" x14ac:dyDescent="0.3">
      <c r="A147" s="4">
        <v>11</v>
      </c>
      <c r="B147" s="3" t="s">
        <v>945</v>
      </c>
      <c r="C147" s="78">
        <v>1070.8</v>
      </c>
      <c r="D147" s="79">
        <v>42</v>
      </c>
      <c r="E147" s="80">
        <v>1</v>
      </c>
      <c r="F147" s="112">
        <v>2936950.21</v>
      </c>
      <c r="H147" s="6">
        <v>1070.8</v>
      </c>
      <c r="I147" s="6">
        <v>42</v>
      </c>
      <c r="J147" s="6">
        <v>2936950.21</v>
      </c>
    </row>
    <row r="148" spans="1:10" ht="20.25" x14ac:dyDescent="0.3">
      <c r="A148" s="4">
        <v>12</v>
      </c>
      <c r="B148" s="3" t="s">
        <v>946</v>
      </c>
      <c r="C148" s="78">
        <v>1547.1</v>
      </c>
      <c r="D148" s="79">
        <v>72</v>
      </c>
      <c r="E148" s="80">
        <v>2</v>
      </c>
      <c r="F148" s="112">
        <v>2773728.46</v>
      </c>
      <c r="H148" s="6">
        <v>1426.8</v>
      </c>
      <c r="I148" s="6">
        <v>72</v>
      </c>
      <c r="J148" s="6">
        <v>2773728.46</v>
      </c>
    </row>
    <row r="149" spans="1:10" ht="20.25" x14ac:dyDescent="0.3">
      <c r="A149" s="4">
        <v>13</v>
      </c>
      <c r="B149" s="3" t="s">
        <v>947</v>
      </c>
      <c r="C149" s="78">
        <v>455.7</v>
      </c>
      <c r="D149" s="79">
        <v>26</v>
      </c>
      <c r="E149" s="80">
        <v>1</v>
      </c>
      <c r="F149" s="112">
        <v>2158336.3499999996</v>
      </c>
      <c r="H149" s="6">
        <v>456.6</v>
      </c>
      <c r="I149" s="6">
        <v>26</v>
      </c>
      <c r="J149" s="6">
        <v>2158336.3499999996</v>
      </c>
    </row>
    <row r="150" spans="1:10" ht="20.25" x14ac:dyDescent="0.3">
      <c r="A150" s="4">
        <v>14</v>
      </c>
      <c r="B150" s="3" t="s">
        <v>948</v>
      </c>
      <c r="C150" s="78">
        <v>3156.2</v>
      </c>
      <c r="D150" s="79">
        <v>156</v>
      </c>
      <c r="E150" s="80">
        <v>1</v>
      </c>
      <c r="F150" s="112">
        <v>2000000</v>
      </c>
      <c r="H150" s="6">
        <v>3374.6</v>
      </c>
      <c r="I150" s="6">
        <v>144</v>
      </c>
      <c r="J150" s="6">
        <v>2000000</v>
      </c>
    </row>
    <row r="151" spans="1:10" ht="20.25" x14ac:dyDescent="0.3">
      <c r="A151" s="4">
        <v>15</v>
      </c>
      <c r="B151" s="3" t="s">
        <v>949</v>
      </c>
      <c r="C151" s="78">
        <v>11855.599999999999</v>
      </c>
      <c r="D151" s="79">
        <v>299</v>
      </c>
      <c r="E151" s="80">
        <v>7</v>
      </c>
      <c r="F151" s="112">
        <v>23342011.919999998</v>
      </c>
      <c r="H151" s="6">
        <v>13638.6</v>
      </c>
      <c r="I151" s="6">
        <v>299</v>
      </c>
      <c r="J151" s="6">
        <v>23342011.919999998</v>
      </c>
    </row>
    <row r="152" spans="1:10" ht="20.25" x14ac:dyDescent="0.3">
      <c r="A152" s="4">
        <v>16</v>
      </c>
      <c r="B152" s="3" t="s">
        <v>950</v>
      </c>
      <c r="C152" s="78">
        <v>5829.2</v>
      </c>
      <c r="D152" s="79">
        <v>215</v>
      </c>
      <c r="E152" s="80">
        <v>2</v>
      </c>
      <c r="F152" s="112">
        <v>12591900</v>
      </c>
      <c r="H152" s="6">
        <v>5759.0999999999995</v>
      </c>
      <c r="I152" s="6">
        <v>215</v>
      </c>
      <c r="J152" s="6">
        <v>12591900</v>
      </c>
    </row>
    <row r="153" spans="1:10" ht="20.25" x14ac:dyDescent="0.3">
      <c r="A153" s="4">
        <v>17</v>
      </c>
      <c r="B153" s="3" t="s">
        <v>951</v>
      </c>
      <c r="C153" s="78">
        <v>396.2</v>
      </c>
      <c r="D153" s="79">
        <v>21</v>
      </c>
      <c r="E153" s="80">
        <v>1</v>
      </c>
      <c r="F153" s="112">
        <v>1724820</v>
      </c>
      <c r="H153" s="6">
        <v>396.2</v>
      </c>
      <c r="I153" s="6">
        <v>21</v>
      </c>
      <c r="J153" s="6">
        <v>1724820</v>
      </c>
    </row>
    <row r="154" spans="1:10" ht="20.25" x14ac:dyDescent="0.3">
      <c r="A154" s="4">
        <v>18</v>
      </c>
      <c r="B154" s="3" t="s">
        <v>952</v>
      </c>
      <c r="C154" s="78">
        <v>1011.8</v>
      </c>
      <c r="D154" s="79">
        <v>26</v>
      </c>
      <c r="E154" s="80">
        <v>1</v>
      </c>
      <c r="F154" s="112">
        <v>1739107.3499999999</v>
      </c>
      <c r="H154" s="6">
        <v>1011.8</v>
      </c>
      <c r="I154" s="6">
        <v>26</v>
      </c>
      <c r="J154" s="6">
        <v>1739107.3499999999</v>
      </c>
    </row>
    <row r="155" spans="1:10" ht="20.25" x14ac:dyDescent="0.3">
      <c r="A155" s="4">
        <v>19</v>
      </c>
      <c r="B155" s="3" t="s">
        <v>953</v>
      </c>
      <c r="C155" s="78">
        <v>594.20000000000005</v>
      </c>
      <c r="D155" s="79">
        <v>23</v>
      </c>
      <c r="E155" s="80">
        <v>1</v>
      </c>
      <c r="F155" s="112">
        <v>3373804.98</v>
      </c>
      <c r="H155" s="6">
        <v>594.20000000000005</v>
      </c>
      <c r="I155" s="6">
        <v>23</v>
      </c>
      <c r="J155" s="6">
        <v>3373804.98</v>
      </c>
    </row>
    <row r="156" spans="1:10" ht="20.25" x14ac:dyDescent="0.3">
      <c r="A156" s="4">
        <v>20</v>
      </c>
      <c r="B156" s="3" t="s">
        <v>954</v>
      </c>
      <c r="C156" s="78">
        <v>833.6</v>
      </c>
      <c r="D156" s="79">
        <v>32</v>
      </c>
      <c r="E156" s="80">
        <v>1</v>
      </c>
      <c r="F156" s="112">
        <v>3916350</v>
      </c>
      <c r="H156" s="6">
        <v>906.9</v>
      </c>
      <c r="I156" s="6">
        <v>32</v>
      </c>
      <c r="J156" s="6">
        <v>3916350</v>
      </c>
    </row>
    <row r="157" spans="1:10" ht="20.25" x14ac:dyDescent="0.3">
      <c r="A157" s="4">
        <v>21</v>
      </c>
      <c r="B157" s="3" t="s">
        <v>955</v>
      </c>
      <c r="C157" s="78">
        <v>2184</v>
      </c>
      <c r="D157" s="79">
        <v>57</v>
      </c>
      <c r="E157" s="80">
        <v>2</v>
      </c>
      <c r="F157" s="112">
        <v>3516578.96</v>
      </c>
      <c r="H157" s="6">
        <v>2184</v>
      </c>
      <c r="I157" s="6">
        <v>57</v>
      </c>
      <c r="J157" s="6">
        <v>3516578.96</v>
      </c>
    </row>
    <row r="158" spans="1:10" ht="20.25" x14ac:dyDescent="0.3">
      <c r="A158" s="4">
        <v>22</v>
      </c>
      <c r="B158" s="3" t="s">
        <v>956</v>
      </c>
      <c r="C158" s="78">
        <v>1069.5</v>
      </c>
      <c r="D158" s="79">
        <v>39</v>
      </c>
      <c r="E158" s="80">
        <v>1</v>
      </c>
      <c r="F158" s="112">
        <v>3598749.4899999998</v>
      </c>
      <c r="H158" s="6">
        <v>1069.5</v>
      </c>
      <c r="I158" s="6">
        <v>39</v>
      </c>
      <c r="J158" s="6">
        <v>3598749.4899999998</v>
      </c>
    </row>
    <row r="159" spans="1:10" ht="20.25" x14ac:dyDescent="0.3">
      <c r="A159" s="4">
        <v>23</v>
      </c>
      <c r="B159" s="3" t="s">
        <v>957</v>
      </c>
      <c r="C159" s="78">
        <v>630</v>
      </c>
      <c r="D159" s="79">
        <v>32</v>
      </c>
      <c r="E159" s="80">
        <v>1</v>
      </c>
      <c r="F159" s="112">
        <v>3488946.79</v>
      </c>
      <c r="H159" s="6">
        <v>630</v>
      </c>
      <c r="I159" s="6">
        <v>32</v>
      </c>
      <c r="J159" s="6">
        <v>3488946.79</v>
      </c>
    </row>
    <row r="160" spans="1:10" ht="20.25" x14ac:dyDescent="0.3">
      <c r="A160" s="4">
        <v>24</v>
      </c>
      <c r="B160" s="3" t="s">
        <v>958</v>
      </c>
      <c r="C160" s="78">
        <v>626.5</v>
      </c>
      <c r="D160" s="79">
        <v>23</v>
      </c>
      <c r="E160" s="80">
        <v>1</v>
      </c>
      <c r="F160" s="112">
        <v>1538879.17</v>
      </c>
      <c r="H160" s="6">
        <v>626.5</v>
      </c>
      <c r="I160" s="6">
        <v>23</v>
      </c>
      <c r="J160" s="6">
        <v>1538879.17</v>
      </c>
    </row>
    <row r="161" spans="1:10" ht="20.25" x14ac:dyDescent="0.3">
      <c r="A161" s="4">
        <v>25</v>
      </c>
      <c r="B161" s="3" t="s">
        <v>959</v>
      </c>
      <c r="C161" s="78">
        <v>14681.960000000001</v>
      </c>
      <c r="D161" s="79">
        <v>477</v>
      </c>
      <c r="E161" s="80">
        <v>6</v>
      </c>
      <c r="F161" s="112">
        <v>28415186.599999998</v>
      </c>
      <c r="H161" s="6">
        <v>20161.96</v>
      </c>
      <c r="I161" s="6">
        <v>621</v>
      </c>
      <c r="J161" s="6">
        <v>28415186.600000001</v>
      </c>
    </row>
    <row r="162" spans="1:10" ht="20.25" x14ac:dyDescent="0.3">
      <c r="A162" s="4">
        <v>26</v>
      </c>
      <c r="B162" s="3" t="s">
        <v>960</v>
      </c>
      <c r="C162" s="78">
        <v>1573</v>
      </c>
      <c r="D162" s="79">
        <v>68</v>
      </c>
      <c r="E162" s="80">
        <v>2</v>
      </c>
      <c r="F162" s="112">
        <v>5777967.8699999992</v>
      </c>
      <c r="H162" s="6">
        <v>1573</v>
      </c>
      <c r="I162" s="6">
        <v>68</v>
      </c>
      <c r="J162" s="6">
        <v>5777967.8699999992</v>
      </c>
    </row>
    <row r="163" spans="1:10" ht="20.25" x14ac:dyDescent="0.3">
      <c r="A163" s="4">
        <v>27</v>
      </c>
      <c r="B163" s="3" t="s">
        <v>961</v>
      </c>
      <c r="C163" s="78">
        <v>1266.2</v>
      </c>
      <c r="D163" s="79">
        <v>52</v>
      </c>
      <c r="E163" s="80">
        <v>3</v>
      </c>
      <c r="F163" s="112">
        <v>4715781.71</v>
      </c>
      <c r="H163" s="6">
        <v>1266.2</v>
      </c>
      <c r="I163" s="6">
        <v>52</v>
      </c>
      <c r="J163" s="6">
        <v>4715781.71</v>
      </c>
    </row>
    <row r="164" spans="1:10" ht="20.25" x14ac:dyDescent="0.3">
      <c r="A164" s="4">
        <v>28</v>
      </c>
      <c r="B164" s="3" t="s">
        <v>962</v>
      </c>
      <c r="C164" s="78">
        <v>703.5</v>
      </c>
      <c r="D164" s="79">
        <v>36</v>
      </c>
      <c r="E164" s="80">
        <v>2</v>
      </c>
      <c r="F164" s="112">
        <v>2590114.16</v>
      </c>
      <c r="H164" s="6">
        <v>703.5</v>
      </c>
      <c r="I164" s="6">
        <v>36</v>
      </c>
      <c r="J164" s="6">
        <v>2590114.16</v>
      </c>
    </row>
    <row r="165" spans="1:10" ht="20.25" x14ac:dyDescent="0.3">
      <c r="A165" s="4">
        <v>29</v>
      </c>
      <c r="B165" s="3" t="s">
        <v>963</v>
      </c>
      <c r="C165" s="78">
        <v>1217.2</v>
      </c>
      <c r="D165" s="79">
        <v>47</v>
      </c>
      <c r="E165" s="80">
        <v>1</v>
      </c>
      <c r="F165" s="112">
        <v>1456533.11</v>
      </c>
      <c r="H165" s="6">
        <v>1217.2</v>
      </c>
      <c r="I165" s="6">
        <v>47</v>
      </c>
      <c r="J165" s="6">
        <v>1456533.11</v>
      </c>
    </row>
    <row r="166" spans="1:10" ht="20.25" x14ac:dyDescent="0.3">
      <c r="A166" s="4">
        <v>30</v>
      </c>
      <c r="B166" s="3" t="s">
        <v>964</v>
      </c>
      <c r="C166" s="78">
        <v>1774</v>
      </c>
      <c r="D166" s="79">
        <v>80</v>
      </c>
      <c r="E166" s="80">
        <v>3</v>
      </c>
      <c r="F166" s="112">
        <v>10290828.25</v>
      </c>
      <c r="H166" s="6">
        <v>1774</v>
      </c>
      <c r="I166" s="6">
        <v>80</v>
      </c>
      <c r="J166" s="6">
        <v>10290828.25</v>
      </c>
    </row>
    <row r="167" spans="1:10" ht="20.25" x14ac:dyDescent="0.3">
      <c r="A167" s="4">
        <v>31</v>
      </c>
      <c r="B167" s="3" t="s">
        <v>965</v>
      </c>
      <c r="C167" s="78">
        <v>609</v>
      </c>
      <c r="D167" s="79">
        <v>31</v>
      </c>
      <c r="E167" s="80">
        <v>1</v>
      </c>
      <c r="F167" s="112">
        <v>3013803.8600000003</v>
      </c>
      <c r="H167" s="6">
        <v>609</v>
      </c>
      <c r="I167" s="6">
        <v>31</v>
      </c>
      <c r="J167" s="6">
        <v>3013803.8600000003</v>
      </c>
    </row>
    <row r="168" spans="1:10" ht="20.25" x14ac:dyDescent="0.3">
      <c r="A168" s="4">
        <v>32</v>
      </c>
      <c r="B168" s="3" t="s">
        <v>966</v>
      </c>
      <c r="C168" s="78">
        <v>616.20000000000005</v>
      </c>
      <c r="D168" s="79">
        <v>21</v>
      </c>
      <c r="E168" s="80">
        <v>1</v>
      </c>
      <c r="F168" s="112">
        <v>2036502</v>
      </c>
      <c r="H168" s="6">
        <v>616</v>
      </c>
      <c r="I168" s="6">
        <v>21</v>
      </c>
      <c r="J168" s="6">
        <v>2036502</v>
      </c>
    </row>
    <row r="169" spans="1:10" ht="20.25" x14ac:dyDescent="0.3">
      <c r="A169" s="4">
        <v>33</v>
      </c>
      <c r="B169" s="3" t="s">
        <v>967</v>
      </c>
      <c r="C169" s="78">
        <v>772.9</v>
      </c>
      <c r="D169" s="79">
        <v>32</v>
      </c>
      <c r="E169" s="80">
        <v>1</v>
      </c>
      <c r="F169" s="112">
        <v>3592598.4</v>
      </c>
      <c r="H169" s="6">
        <v>772.9</v>
      </c>
      <c r="I169" s="6">
        <v>32</v>
      </c>
      <c r="J169" s="6">
        <v>3592598.4</v>
      </c>
    </row>
    <row r="170" spans="1:10" ht="20.25" x14ac:dyDescent="0.3">
      <c r="A170" s="4">
        <v>34</v>
      </c>
      <c r="B170" s="3" t="s">
        <v>968</v>
      </c>
      <c r="C170" s="78">
        <v>976.3</v>
      </c>
      <c r="D170" s="79">
        <v>36</v>
      </c>
      <c r="E170" s="80">
        <v>1</v>
      </c>
      <c r="F170" s="112">
        <v>4454195.3999999994</v>
      </c>
      <c r="H170" s="6">
        <v>976.3</v>
      </c>
      <c r="I170" s="6">
        <v>36</v>
      </c>
      <c r="J170" s="6">
        <v>4454195.3999999994</v>
      </c>
    </row>
    <row r="171" spans="1:10" ht="20.25" x14ac:dyDescent="0.3">
      <c r="A171" s="4">
        <v>35</v>
      </c>
      <c r="B171" s="3" t="s">
        <v>969</v>
      </c>
      <c r="C171" s="78">
        <v>781.7</v>
      </c>
      <c r="D171" s="79">
        <v>25</v>
      </c>
      <c r="E171" s="80">
        <v>1</v>
      </c>
      <c r="F171" s="112">
        <v>4839701.7600000007</v>
      </c>
      <c r="H171" s="6">
        <v>781.7</v>
      </c>
      <c r="I171" s="6">
        <v>25</v>
      </c>
      <c r="J171" s="6">
        <v>4839701.7600000007</v>
      </c>
    </row>
    <row r="172" spans="1:10" ht="20.25" x14ac:dyDescent="0.3">
      <c r="A172" s="4">
        <v>36</v>
      </c>
      <c r="B172" s="3" t="s">
        <v>970</v>
      </c>
      <c r="C172" s="78">
        <v>736.7</v>
      </c>
      <c r="D172" s="79">
        <v>42</v>
      </c>
      <c r="E172" s="80">
        <v>1</v>
      </c>
      <c r="F172" s="112">
        <v>3231458.3</v>
      </c>
      <c r="H172" s="6">
        <v>792.9</v>
      </c>
      <c r="I172" s="6">
        <v>42</v>
      </c>
      <c r="J172" s="6">
        <v>3231458.3</v>
      </c>
    </row>
    <row r="173" spans="1:10" ht="20.25" x14ac:dyDescent="0.3">
      <c r="A173" s="4">
        <v>37</v>
      </c>
      <c r="B173" s="3" t="s">
        <v>971</v>
      </c>
      <c r="C173" s="78">
        <v>9352.4</v>
      </c>
      <c r="D173" s="79">
        <v>371</v>
      </c>
      <c r="E173" s="80">
        <v>3</v>
      </c>
      <c r="F173" s="112">
        <v>16849360.93</v>
      </c>
      <c r="H173" s="6">
        <v>9443</v>
      </c>
      <c r="I173" s="6">
        <v>371</v>
      </c>
      <c r="J173" s="6">
        <v>16849360.93</v>
      </c>
    </row>
    <row r="174" spans="1:10" ht="20.25" x14ac:dyDescent="0.3">
      <c r="A174" s="4">
        <v>38</v>
      </c>
      <c r="B174" s="3" t="s">
        <v>972</v>
      </c>
      <c r="C174" s="78">
        <v>2168.41</v>
      </c>
      <c r="D174" s="79">
        <v>62</v>
      </c>
      <c r="E174" s="80">
        <v>1</v>
      </c>
      <c r="F174" s="112">
        <v>3799734.79</v>
      </c>
      <c r="H174" s="6">
        <v>2168.41</v>
      </c>
      <c r="I174" s="6">
        <v>62</v>
      </c>
      <c r="J174" s="6">
        <v>3799734.79</v>
      </c>
    </row>
    <row r="175" spans="1:10" ht="20.25" x14ac:dyDescent="0.3">
      <c r="A175" s="4">
        <v>39</v>
      </c>
      <c r="B175" s="3" t="s">
        <v>973</v>
      </c>
      <c r="C175" s="78">
        <v>780.3</v>
      </c>
      <c r="D175" s="79">
        <v>24</v>
      </c>
      <c r="E175" s="80">
        <v>1</v>
      </c>
      <c r="F175" s="112">
        <v>2311215.4500000002</v>
      </c>
      <c r="H175" s="6">
        <v>780.3</v>
      </c>
      <c r="I175" s="6">
        <v>24</v>
      </c>
      <c r="J175" s="6">
        <v>2311215.4500000002</v>
      </c>
    </row>
    <row r="176" spans="1:10" ht="20.25" x14ac:dyDescent="0.3">
      <c r="A176" s="4">
        <v>40</v>
      </c>
      <c r="B176" s="3" t="s">
        <v>974</v>
      </c>
      <c r="C176" s="78">
        <v>540.79999999999995</v>
      </c>
      <c r="D176" s="79">
        <v>15</v>
      </c>
      <c r="E176" s="80">
        <v>1</v>
      </c>
      <c r="F176" s="112">
        <v>3215375.5700000003</v>
      </c>
      <c r="H176" s="6">
        <v>540.79999999999995</v>
      </c>
      <c r="I176" s="6">
        <v>15</v>
      </c>
      <c r="J176" s="6">
        <v>3215375.5700000003</v>
      </c>
    </row>
    <row r="177" spans="1:10" ht="20.25" x14ac:dyDescent="0.3">
      <c r="A177" s="4">
        <v>41</v>
      </c>
      <c r="B177" s="3" t="s">
        <v>975</v>
      </c>
      <c r="C177" s="78">
        <v>2550.6999999999998</v>
      </c>
      <c r="D177" s="79">
        <v>119</v>
      </c>
      <c r="E177" s="80">
        <v>3</v>
      </c>
      <c r="F177" s="112">
        <v>10672314.84</v>
      </c>
      <c r="H177" s="6">
        <v>2550.6999999999998</v>
      </c>
      <c r="I177" s="6">
        <v>119</v>
      </c>
      <c r="J177" s="6">
        <v>10672314.84</v>
      </c>
    </row>
    <row r="178" spans="1:10" ht="20.25" x14ac:dyDescent="0.3">
      <c r="A178" s="4">
        <v>42</v>
      </c>
      <c r="B178" s="3" t="s">
        <v>976</v>
      </c>
      <c r="C178" s="78">
        <v>5523</v>
      </c>
      <c r="D178" s="79">
        <v>208</v>
      </c>
      <c r="E178" s="80">
        <v>1</v>
      </c>
      <c r="F178" s="112">
        <v>3912770.8299999996</v>
      </c>
      <c r="H178" s="6">
        <v>5727.7</v>
      </c>
      <c r="I178" s="6">
        <v>188</v>
      </c>
      <c r="J178" s="6">
        <v>6053192.4699999997</v>
      </c>
    </row>
    <row r="179" spans="1:10" ht="20.25" x14ac:dyDescent="0.3">
      <c r="A179" s="4">
        <v>43</v>
      </c>
      <c r="B179" s="3" t="s">
        <v>977</v>
      </c>
      <c r="C179" s="78">
        <v>1046.8</v>
      </c>
      <c r="D179" s="79">
        <v>44</v>
      </c>
      <c r="E179" s="80">
        <v>1</v>
      </c>
      <c r="F179" s="112">
        <v>4804056</v>
      </c>
      <c r="H179" s="6">
        <v>1040.7</v>
      </c>
      <c r="I179" s="6">
        <v>44</v>
      </c>
      <c r="J179" s="6">
        <v>4804056</v>
      </c>
    </row>
    <row r="180" spans="1:10" ht="20.25" x14ac:dyDescent="0.3">
      <c r="A180" s="4">
        <v>44</v>
      </c>
      <c r="B180" s="3" t="s">
        <v>978</v>
      </c>
      <c r="C180" s="78">
        <v>3554.5</v>
      </c>
      <c r="D180" s="79">
        <v>145</v>
      </c>
      <c r="E180" s="80">
        <v>1</v>
      </c>
      <c r="F180" s="112">
        <v>7284801.9000000004</v>
      </c>
      <c r="H180" s="6">
        <v>3554.5</v>
      </c>
      <c r="I180" s="6">
        <v>145</v>
      </c>
      <c r="J180" s="6">
        <v>7284801.9000000004</v>
      </c>
    </row>
    <row r="181" spans="1:10" ht="20.25" x14ac:dyDescent="0.3">
      <c r="A181" s="4">
        <v>45</v>
      </c>
      <c r="B181" s="3" t="s">
        <v>979</v>
      </c>
      <c r="C181" s="78">
        <v>2640.94</v>
      </c>
      <c r="D181" s="79">
        <v>88</v>
      </c>
      <c r="E181" s="80">
        <v>2</v>
      </c>
      <c r="F181" s="112">
        <v>4011881.02</v>
      </c>
      <c r="H181" s="6">
        <v>2640.94</v>
      </c>
      <c r="I181" s="6">
        <v>88</v>
      </c>
      <c r="J181" s="6">
        <v>4011881.02</v>
      </c>
    </row>
    <row r="182" spans="1:10" ht="20.25" x14ac:dyDescent="0.3">
      <c r="A182" s="4">
        <v>46</v>
      </c>
      <c r="B182" s="3" t="s">
        <v>980</v>
      </c>
      <c r="C182" s="78">
        <v>4173.3999999999996</v>
      </c>
      <c r="D182" s="79">
        <v>171</v>
      </c>
      <c r="E182" s="80">
        <v>2</v>
      </c>
      <c r="F182" s="112">
        <v>6026117.5699999994</v>
      </c>
      <c r="H182" s="6">
        <v>4173.7</v>
      </c>
      <c r="I182" s="6">
        <v>171</v>
      </c>
      <c r="J182" s="6">
        <v>6026117.5699999994</v>
      </c>
    </row>
    <row r="183" spans="1:10" ht="20.25" x14ac:dyDescent="0.3">
      <c r="A183" s="4">
        <v>47</v>
      </c>
      <c r="B183" s="3" t="s">
        <v>981</v>
      </c>
      <c r="C183" s="78">
        <v>13642.179999999998</v>
      </c>
      <c r="D183" s="79">
        <v>327</v>
      </c>
      <c r="E183" s="80">
        <v>3</v>
      </c>
      <c r="F183" s="112">
        <v>12459674.15</v>
      </c>
      <c r="H183" s="6">
        <v>8514.9</v>
      </c>
      <c r="I183" s="6">
        <v>327</v>
      </c>
      <c r="J183" s="6">
        <v>12459674.15</v>
      </c>
    </row>
    <row r="184" spans="1:10" ht="20.25" x14ac:dyDescent="0.3">
      <c r="A184" s="4">
        <v>48</v>
      </c>
      <c r="B184" s="3" t="s">
        <v>982</v>
      </c>
      <c r="C184" s="78">
        <v>13231.8</v>
      </c>
      <c r="D184" s="79">
        <v>565</v>
      </c>
      <c r="E184" s="80">
        <v>4</v>
      </c>
      <c r="F184" s="112">
        <v>11707868.220000001</v>
      </c>
      <c r="H184" s="6">
        <v>14680.3</v>
      </c>
      <c r="I184" s="6">
        <v>685</v>
      </c>
      <c r="J184" s="6">
        <v>13993215.270000001</v>
      </c>
    </row>
    <row r="185" spans="1:10" ht="20.25" x14ac:dyDescent="0.3">
      <c r="A185" s="4">
        <v>49</v>
      </c>
      <c r="B185" s="3" t="s">
        <v>983</v>
      </c>
      <c r="C185" s="78">
        <v>5101.2</v>
      </c>
      <c r="D185" s="79">
        <v>164</v>
      </c>
      <c r="E185" s="80">
        <v>2</v>
      </c>
      <c r="F185" s="112">
        <v>9221698.8000000007</v>
      </c>
      <c r="H185" s="6">
        <v>4947</v>
      </c>
      <c r="I185" s="6">
        <v>164</v>
      </c>
      <c r="J185" s="6">
        <v>9221698.8000000007</v>
      </c>
    </row>
    <row r="186" spans="1:10" ht="20.25" x14ac:dyDescent="0.3">
      <c r="A186" s="4">
        <v>50</v>
      </c>
      <c r="B186" s="3" t="s">
        <v>984</v>
      </c>
      <c r="C186" s="78">
        <v>783.81</v>
      </c>
      <c r="D186" s="79">
        <v>28</v>
      </c>
      <c r="E186" s="80">
        <v>1</v>
      </c>
      <c r="F186" s="112">
        <v>3623929.1999999997</v>
      </c>
      <c r="H186" s="6">
        <v>726</v>
      </c>
      <c r="I186" s="6">
        <v>28</v>
      </c>
      <c r="J186" s="6">
        <v>3623929.1999999997</v>
      </c>
    </row>
    <row r="187" spans="1:10" ht="20.25" x14ac:dyDescent="0.3">
      <c r="A187" s="4">
        <v>51</v>
      </c>
      <c r="B187" s="3" t="s">
        <v>985</v>
      </c>
      <c r="C187" s="78">
        <v>680.2</v>
      </c>
      <c r="D187" s="79">
        <v>32</v>
      </c>
      <c r="E187" s="80">
        <v>1</v>
      </c>
      <c r="F187" s="112">
        <v>3080862</v>
      </c>
      <c r="H187" s="6">
        <v>675.9</v>
      </c>
      <c r="I187" s="6">
        <v>32</v>
      </c>
      <c r="J187" s="6">
        <v>3080862</v>
      </c>
    </row>
    <row r="188" spans="1:10" ht="20.25" x14ac:dyDescent="0.3">
      <c r="A188" s="4">
        <v>52</v>
      </c>
      <c r="B188" s="3" t="s">
        <v>986</v>
      </c>
      <c r="C188" s="78">
        <v>646.4</v>
      </c>
      <c r="D188" s="79">
        <v>28</v>
      </c>
      <c r="E188" s="80">
        <v>2</v>
      </c>
      <c r="F188" s="112">
        <v>2610892.59</v>
      </c>
      <c r="H188" s="6">
        <v>611.5</v>
      </c>
      <c r="I188" s="6">
        <v>28</v>
      </c>
      <c r="J188" s="6">
        <v>2610892.59</v>
      </c>
    </row>
    <row r="189" spans="1:10" ht="20.25" x14ac:dyDescent="0.3">
      <c r="A189" s="4">
        <v>53</v>
      </c>
      <c r="B189" s="3" t="s">
        <v>987</v>
      </c>
      <c r="C189" s="78">
        <v>2009.6000000000001</v>
      </c>
      <c r="D189" s="79">
        <v>77</v>
      </c>
      <c r="E189" s="80">
        <v>3</v>
      </c>
      <c r="F189" s="112">
        <v>6332416.4000000004</v>
      </c>
      <c r="H189" s="6">
        <v>2373.5</v>
      </c>
      <c r="I189" s="6">
        <v>77</v>
      </c>
      <c r="J189" s="6">
        <v>6332416.4000000004</v>
      </c>
    </row>
    <row r="190" spans="1:10" ht="20.25" x14ac:dyDescent="0.3">
      <c r="A190" s="4">
        <v>54</v>
      </c>
      <c r="B190" s="3" t="s">
        <v>988</v>
      </c>
      <c r="C190" s="78">
        <v>814.6</v>
      </c>
      <c r="D190" s="79">
        <v>26</v>
      </c>
      <c r="E190" s="80">
        <v>1</v>
      </c>
      <c r="F190" s="112">
        <v>4686244.08</v>
      </c>
      <c r="H190" s="6">
        <v>789</v>
      </c>
      <c r="I190" s="6">
        <v>64</v>
      </c>
      <c r="J190" s="6">
        <v>3026194.08</v>
      </c>
    </row>
    <row r="191" spans="1:10" ht="20.25" x14ac:dyDescent="0.3">
      <c r="A191" s="4">
        <v>55</v>
      </c>
      <c r="B191" s="3" t="s">
        <v>989</v>
      </c>
      <c r="C191" s="78">
        <v>350.9</v>
      </c>
      <c r="D191" s="79">
        <v>18</v>
      </c>
      <c r="E191" s="80">
        <v>1</v>
      </c>
      <c r="F191" s="112">
        <v>3600600</v>
      </c>
      <c r="H191" s="6">
        <v>351</v>
      </c>
      <c r="I191" s="6">
        <v>18</v>
      </c>
      <c r="J191" s="6">
        <v>3600600</v>
      </c>
    </row>
    <row r="192" spans="1:10" ht="20.25" x14ac:dyDescent="0.3">
      <c r="A192" s="4">
        <v>56</v>
      </c>
      <c r="B192" s="3" t="s">
        <v>990</v>
      </c>
      <c r="C192" s="78">
        <v>626</v>
      </c>
      <c r="D192" s="79">
        <v>23</v>
      </c>
      <c r="E192" s="80">
        <v>1</v>
      </c>
      <c r="F192" s="112">
        <v>2233993.96</v>
      </c>
      <c r="H192" s="6">
        <v>626</v>
      </c>
      <c r="I192" s="6">
        <v>23</v>
      </c>
      <c r="J192" s="6">
        <v>1917600</v>
      </c>
    </row>
    <row r="193" spans="1:10" ht="20.25" x14ac:dyDescent="0.3">
      <c r="A193" s="4">
        <v>57</v>
      </c>
      <c r="B193" s="3" t="s">
        <v>991</v>
      </c>
      <c r="C193" s="78">
        <v>4977.8</v>
      </c>
      <c r="D193" s="79">
        <v>158</v>
      </c>
      <c r="E193" s="80">
        <v>3</v>
      </c>
      <c r="F193" s="112">
        <v>14392200</v>
      </c>
      <c r="H193" s="6">
        <v>4977.8</v>
      </c>
      <c r="I193" s="6">
        <v>158</v>
      </c>
      <c r="J193" s="6">
        <v>14392200</v>
      </c>
    </row>
    <row r="194" spans="1:10" ht="20.25" x14ac:dyDescent="0.3">
      <c r="A194" s="4">
        <v>58</v>
      </c>
      <c r="B194" s="3" t="s">
        <v>992</v>
      </c>
      <c r="C194" s="78">
        <v>775.2</v>
      </c>
      <c r="D194" s="79">
        <v>16</v>
      </c>
      <c r="E194" s="80">
        <v>1</v>
      </c>
      <c r="F194" s="112">
        <v>3396600</v>
      </c>
      <c r="H194" s="6">
        <v>715.9</v>
      </c>
      <c r="I194" s="6">
        <v>16</v>
      </c>
      <c r="J194" s="6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97"/>
  <sheetViews>
    <sheetView topLeftCell="K1" zoomScale="20" zoomScaleNormal="20" workbookViewId="0">
      <selection activeCell="B1" sqref="B1:AJ197"/>
    </sheetView>
  </sheetViews>
  <sheetFormatPr defaultRowHeight="15" x14ac:dyDescent="0.25"/>
  <cols>
    <col min="1" max="1" width="9.140625" style="6" hidden="1" customWidth="1"/>
    <col min="2" max="2" width="26.42578125" style="6" customWidth="1"/>
    <col min="3" max="3" width="242.7109375" style="6" customWidth="1"/>
    <col min="4" max="4" width="58.85546875" style="6" customWidth="1"/>
    <col min="5" max="5" width="72.140625" style="6" customWidth="1"/>
    <col min="6" max="6" width="53.5703125" style="6" customWidth="1"/>
    <col min="7" max="9" width="54.28515625" style="6" customWidth="1"/>
    <col min="10" max="10" width="49.28515625" style="6" customWidth="1"/>
    <col min="11" max="11" width="52.85546875" style="6" customWidth="1"/>
    <col min="12" max="12" width="47.85546875" style="6" customWidth="1"/>
    <col min="13" max="13" width="40.140625" style="65" customWidth="1"/>
    <col min="14" max="14" width="44.42578125" style="6" customWidth="1"/>
    <col min="15" max="15" width="43.7109375" style="6" customWidth="1"/>
    <col min="16" max="16" width="58.5703125" style="6" customWidth="1"/>
    <col min="17" max="17" width="41.42578125" style="6" customWidth="1"/>
    <col min="18" max="18" width="42.5703125" style="6" customWidth="1"/>
    <col min="19" max="19" width="43.85546875" style="6" customWidth="1"/>
    <col min="20" max="20" width="60.28515625" style="6" customWidth="1"/>
    <col min="21" max="21" width="35.42578125" style="6" customWidth="1"/>
    <col min="22" max="22" width="49.140625" style="6" customWidth="1"/>
    <col min="23" max="23" width="34.28515625" style="6" customWidth="1"/>
    <col min="24" max="24" width="58" style="6" customWidth="1"/>
    <col min="25" max="25" width="66.28515625" style="6" customWidth="1"/>
    <col min="26" max="26" width="51.85546875" style="6" customWidth="1"/>
    <col min="27" max="27" width="41.42578125" style="6" customWidth="1"/>
    <col min="28" max="28" width="69" style="6" customWidth="1"/>
    <col min="29" max="29" width="96.7109375" style="6" customWidth="1"/>
    <col min="30" max="30" width="55.28515625" style="6" customWidth="1"/>
    <col min="31" max="32" width="51" style="6" customWidth="1"/>
    <col min="33" max="33" width="63.28515625" style="6" customWidth="1"/>
    <col min="34" max="34" width="38.140625" style="6" customWidth="1"/>
    <col min="35" max="35" width="41.7109375" style="6" customWidth="1"/>
    <col min="36" max="36" width="36.7109375" style="6" customWidth="1"/>
    <col min="37" max="16384" width="9.140625" style="6"/>
  </cols>
  <sheetData>
    <row r="1" spans="1:36" ht="90" x14ac:dyDescent="1.1499999999999999">
      <c r="B1" s="214" t="s">
        <v>1024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</row>
    <row r="2" spans="1:36" ht="90" x14ac:dyDescent="0.25">
      <c r="B2" s="215" t="s">
        <v>1082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36" ht="76.5" x14ac:dyDescent="1.05">
      <c r="B3" s="61" t="s">
        <v>1026</v>
      </c>
      <c r="C3" s="216" t="s">
        <v>1083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</row>
    <row r="4" spans="1:36" ht="76.5" x14ac:dyDescent="0.25">
      <c r="B4" s="61" t="s">
        <v>1027</v>
      </c>
      <c r="C4" s="217" t="s">
        <v>1072</v>
      </c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</row>
    <row r="5" spans="1:36" ht="45.75" x14ac:dyDescent="0.25">
      <c r="B5" s="180" t="s">
        <v>6</v>
      </c>
      <c r="C5" s="180" t="s">
        <v>7</v>
      </c>
      <c r="D5" s="180" t="s">
        <v>1073</v>
      </c>
      <c r="E5" s="218" t="s">
        <v>1074</v>
      </c>
      <c r="F5" s="221" t="s">
        <v>8</v>
      </c>
      <c r="G5" s="180" t="s">
        <v>1030</v>
      </c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224" t="s">
        <v>9</v>
      </c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5" t="s">
        <v>10</v>
      </c>
      <c r="AI5" s="225" t="s">
        <v>11</v>
      </c>
      <c r="AJ5" s="225" t="s">
        <v>12</v>
      </c>
    </row>
    <row r="6" spans="1:36" ht="45.75" x14ac:dyDescent="0.25">
      <c r="B6" s="180"/>
      <c r="C6" s="180"/>
      <c r="D6" s="180"/>
      <c r="E6" s="219"/>
      <c r="F6" s="222"/>
      <c r="G6" s="180" t="s">
        <v>13</v>
      </c>
      <c r="H6" s="180"/>
      <c r="I6" s="180"/>
      <c r="J6" s="180"/>
      <c r="K6" s="180"/>
      <c r="L6" s="180"/>
      <c r="M6" s="231" t="s">
        <v>14</v>
      </c>
      <c r="N6" s="232"/>
      <c r="O6" s="231" t="s">
        <v>15</v>
      </c>
      <c r="P6" s="232"/>
      <c r="Q6" s="231" t="s">
        <v>16</v>
      </c>
      <c r="R6" s="232"/>
      <c r="S6" s="231" t="s">
        <v>17</v>
      </c>
      <c r="T6" s="232"/>
      <c r="U6" s="231" t="s">
        <v>18</v>
      </c>
      <c r="V6" s="232"/>
      <c r="W6" s="229" t="s">
        <v>19</v>
      </c>
      <c r="X6" s="229" t="s">
        <v>1075</v>
      </c>
      <c r="Y6" s="229" t="s">
        <v>21</v>
      </c>
      <c r="Z6" s="229" t="s">
        <v>22</v>
      </c>
      <c r="AA6" s="229" t="s">
        <v>23</v>
      </c>
      <c r="AB6" s="229" t="s">
        <v>1076</v>
      </c>
      <c r="AC6" s="229" t="s">
        <v>1077</v>
      </c>
      <c r="AD6" s="229" t="s">
        <v>1078</v>
      </c>
      <c r="AE6" s="237" t="s">
        <v>27</v>
      </c>
      <c r="AF6" s="237" t="s">
        <v>28</v>
      </c>
      <c r="AG6" s="237" t="s">
        <v>1079</v>
      </c>
      <c r="AH6" s="226"/>
      <c r="AI6" s="226"/>
      <c r="AJ6" s="226"/>
    </row>
    <row r="7" spans="1:36" ht="303" x14ac:dyDescent="0.25">
      <c r="B7" s="180"/>
      <c r="C7" s="180"/>
      <c r="D7" s="180"/>
      <c r="E7" s="220"/>
      <c r="F7" s="223"/>
      <c r="G7" s="62" t="s">
        <v>30</v>
      </c>
      <c r="H7" s="62" t="s">
        <v>31</v>
      </c>
      <c r="I7" s="62" t="s">
        <v>32</v>
      </c>
      <c r="J7" s="62" t="s">
        <v>33</v>
      </c>
      <c r="K7" s="62" t="s">
        <v>34</v>
      </c>
      <c r="L7" s="62" t="s">
        <v>35</v>
      </c>
      <c r="M7" s="233"/>
      <c r="N7" s="234"/>
      <c r="O7" s="233"/>
      <c r="P7" s="234"/>
      <c r="Q7" s="233"/>
      <c r="R7" s="234"/>
      <c r="S7" s="233"/>
      <c r="T7" s="234"/>
      <c r="U7" s="233"/>
      <c r="V7" s="234"/>
      <c r="W7" s="230"/>
      <c r="X7" s="230"/>
      <c r="Y7" s="230"/>
      <c r="Z7" s="230"/>
      <c r="AA7" s="230"/>
      <c r="AB7" s="230"/>
      <c r="AC7" s="230"/>
      <c r="AD7" s="230"/>
      <c r="AE7" s="238"/>
      <c r="AF7" s="238"/>
      <c r="AG7" s="238"/>
      <c r="AH7" s="226"/>
      <c r="AI7" s="226"/>
      <c r="AJ7" s="226"/>
    </row>
    <row r="8" spans="1:36" ht="45.75" x14ac:dyDescent="0.25">
      <c r="B8" s="180"/>
      <c r="C8" s="180"/>
      <c r="D8" s="180"/>
      <c r="E8" s="161" t="s">
        <v>1080</v>
      </c>
      <c r="F8" s="160" t="s">
        <v>36</v>
      </c>
      <c r="G8" s="161" t="s">
        <v>36</v>
      </c>
      <c r="H8" s="161" t="s">
        <v>36</v>
      </c>
      <c r="I8" s="161" t="s">
        <v>36</v>
      </c>
      <c r="J8" s="161" t="s">
        <v>36</v>
      </c>
      <c r="K8" s="161" t="s">
        <v>36</v>
      </c>
      <c r="L8" s="161" t="s">
        <v>36</v>
      </c>
      <c r="M8" s="26" t="s">
        <v>37</v>
      </c>
      <c r="N8" s="161" t="s">
        <v>36</v>
      </c>
      <c r="O8" s="161" t="s">
        <v>38</v>
      </c>
      <c r="P8" s="161" t="s">
        <v>36</v>
      </c>
      <c r="Q8" s="161" t="s">
        <v>38</v>
      </c>
      <c r="R8" s="161" t="s">
        <v>36</v>
      </c>
      <c r="S8" s="161" t="s">
        <v>38</v>
      </c>
      <c r="T8" s="161" t="s">
        <v>36</v>
      </c>
      <c r="U8" s="161" t="s">
        <v>39</v>
      </c>
      <c r="V8" s="161" t="s">
        <v>36</v>
      </c>
      <c r="W8" s="161" t="s">
        <v>36</v>
      </c>
      <c r="X8" s="161" t="s">
        <v>36</v>
      </c>
      <c r="Y8" s="161" t="s">
        <v>36</v>
      </c>
      <c r="Z8" s="161" t="s">
        <v>36</v>
      </c>
      <c r="AA8" s="161" t="s">
        <v>36</v>
      </c>
      <c r="AB8" s="161" t="s">
        <v>36</v>
      </c>
      <c r="AC8" s="161" t="s">
        <v>36</v>
      </c>
      <c r="AD8" s="161" t="s">
        <v>36</v>
      </c>
      <c r="AE8" s="161" t="s">
        <v>36</v>
      </c>
      <c r="AF8" s="161" t="s">
        <v>36</v>
      </c>
      <c r="AG8" s="161" t="s">
        <v>36</v>
      </c>
      <c r="AH8" s="227"/>
      <c r="AI8" s="227"/>
      <c r="AJ8" s="227"/>
    </row>
    <row r="9" spans="1:36" ht="45.75" x14ac:dyDescent="0.65">
      <c r="B9" s="162">
        <v>1</v>
      </c>
      <c r="C9" s="162">
        <v>2</v>
      </c>
      <c r="D9" s="162">
        <v>3</v>
      </c>
      <c r="E9" s="162">
        <v>4</v>
      </c>
      <c r="F9" s="162">
        <v>5</v>
      </c>
      <c r="G9" s="162">
        <v>6</v>
      </c>
      <c r="H9" s="162">
        <v>7</v>
      </c>
      <c r="I9" s="162">
        <v>8</v>
      </c>
      <c r="J9" s="162">
        <v>9</v>
      </c>
      <c r="K9" s="162">
        <v>10</v>
      </c>
      <c r="L9" s="162">
        <v>11</v>
      </c>
      <c r="M9" s="63">
        <v>12</v>
      </c>
      <c r="N9" s="162">
        <v>13</v>
      </c>
      <c r="O9" s="162">
        <v>14</v>
      </c>
      <c r="P9" s="162">
        <v>15</v>
      </c>
      <c r="Q9" s="162">
        <v>16</v>
      </c>
      <c r="R9" s="162">
        <v>17</v>
      </c>
      <c r="S9" s="162">
        <v>18</v>
      </c>
      <c r="T9" s="162">
        <v>19</v>
      </c>
      <c r="U9" s="162">
        <v>20</v>
      </c>
      <c r="V9" s="162">
        <v>21</v>
      </c>
      <c r="W9" s="162">
        <v>22</v>
      </c>
      <c r="X9" s="162">
        <v>23</v>
      </c>
      <c r="Y9" s="162">
        <v>24</v>
      </c>
      <c r="Z9" s="162">
        <v>25</v>
      </c>
      <c r="AA9" s="162">
        <v>26</v>
      </c>
      <c r="AB9" s="162">
        <v>27</v>
      </c>
      <c r="AC9" s="162">
        <v>28</v>
      </c>
      <c r="AD9" s="162">
        <v>29</v>
      </c>
      <c r="AE9" s="162">
        <v>30</v>
      </c>
      <c r="AF9" s="162">
        <v>31</v>
      </c>
      <c r="AG9" s="162">
        <v>32</v>
      </c>
      <c r="AH9" s="162">
        <v>33</v>
      </c>
      <c r="AI9" s="162">
        <v>34</v>
      </c>
      <c r="AJ9" s="162">
        <v>35</v>
      </c>
    </row>
    <row r="10" spans="1:36" ht="61.5" x14ac:dyDescent="0.25">
      <c r="B10" s="228" t="s">
        <v>1081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</row>
    <row r="11" spans="1:36" s="73" customFormat="1" ht="61.5" x14ac:dyDescent="0.85">
      <c r="B11" s="70" t="s">
        <v>1115</v>
      </c>
      <c r="C11" s="74"/>
      <c r="D11" s="68" t="s">
        <v>934</v>
      </c>
      <c r="E11" s="69">
        <f>AVERAGE(E12:E58)</f>
        <v>1.0072967198581564</v>
      </c>
      <c r="F11" s="31">
        <f>F12+F14+F23+F27+F29+F32+F35+F41+F43+F47+F49+F51+F53+F57+F39+F25+F59+F61</f>
        <v>81923279.867684737</v>
      </c>
      <c r="G11" s="31">
        <f t="shared" ref="G11:AG11" si="0">G12+G14+G23+G27+G29+G32+G35+G41+G43+G47+G49+G51+G53+G57+G39+G25+G59+G61</f>
        <v>527851.61</v>
      </c>
      <c r="H11" s="31">
        <f t="shared" si="0"/>
        <v>574926.32999999996</v>
      </c>
      <c r="I11" s="31">
        <f t="shared" si="0"/>
        <v>1042147.18</v>
      </c>
      <c r="J11" s="31">
        <f t="shared" si="0"/>
        <v>709528.05</v>
      </c>
      <c r="K11" s="31">
        <f t="shared" si="0"/>
        <v>825545.05</v>
      </c>
      <c r="L11" s="31">
        <f t="shared" si="0"/>
        <v>0</v>
      </c>
      <c r="M11" s="77">
        <f t="shared" si="0"/>
        <v>0</v>
      </c>
      <c r="N11" s="31">
        <f t="shared" si="0"/>
        <v>0</v>
      </c>
      <c r="O11" s="31">
        <f t="shared" si="0"/>
        <v>14947.44</v>
      </c>
      <c r="P11" s="31">
        <f t="shared" si="0"/>
        <v>68404189.23999998</v>
      </c>
      <c r="Q11" s="31">
        <f t="shared" si="0"/>
        <v>0</v>
      </c>
      <c r="R11" s="31">
        <f t="shared" si="0"/>
        <v>0</v>
      </c>
      <c r="S11" s="31">
        <f t="shared" si="0"/>
        <v>1606.91</v>
      </c>
      <c r="T11" s="31">
        <f t="shared" si="0"/>
        <v>5904665.387684729</v>
      </c>
      <c r="U11" s="31">
        <f t="shared" si="0"/>
        <v>0</v>
      </c>
      <c r="V11" s="31">
        <f t="shared" si="0"/>
        <v>0</v>
      </c>
      <c r="W11" s="31">
        <f t="shared" si="0"/>
        <v>0</v>
      </c>
      <c r="X11" s="31">
        <f t="shared" si="0"/>
        <v>0</v>
      </c>
      <c r="Y11" s="31">
        <f t="shared" si="0"/>
        <v>0</v>
      </c>
      <c r="Z11" s="31">
        <f t="shared" si="0"/>
        <v>0</v>
      </c>
      <c r="AA11" s="31">
        <f t="shared" si="0"/>
        <v>0</v>
      </c>
      <c r="AB11" s="31">
        <f t="shared" si="0"/>
        <v>0</v>
      </c>
      <c r="AC11" s="31">
        <f t="shared" si="0"/>
        <v>0</v>
      </c>
      <c r="AD11" s="31">
        <f t="shared" si="0"/>
        <v>0</v>
      </c>
      <c r="AE11" s="31">
        <f t="shared" si="0"/>
        <v>1169832.7899999998</v>
      </c>
      <c r="AF11" s="31">
        <f t="shared" si="0"/>
        <v>2764594.23</v>
      </c>
      <c r="AG11" s="68">
        <f t="shared" si="0"/>
        <v>0</v>
      </c>
      <c r="AH11" s="35" t="s">
        <v>934</v>
      </c>
      <c r="AI11" s="35" t="s">
        <v>934</v>
      </c>
      <c r="AJ11" s="35" t="s">
        <v>934</v>
      </c>
    </row>
    <row r="12" spans="1:36" s="20" customFormat="1" ht="61.5" x14ac:dyDescent="0.85">
      <c r="B12" s="70" t="s">
        <v>858</v>
      </c>
      <c r="C12" s="24"/>
      <c r="D12" s="68" t="s">
        <v>934</v>
      </c>
      <c r="E12" s="69">
        <f>AVERAGE(E13:E13)</f>
        <v>1.0055000000000001</v>
      </c>
      <c r="F12" s="31">
        <f>F13</f>
        <v>2780000</v>
      </c>
      <c r="G12" s="31">
        <f t="shared" ref="G12:AG12" si="1">G13</f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77">
        <f t="shared" si="1"/>
        <v>0</v>
      </c>
      <c r="N12" s="31">
        <f t="shared" si="1"/>
        <v>0</v>
      </c>
      <c r="O12" s="31">
        <f t="shared" si="1"/>
        <v>600</v>
      </c>
      <c r="P12" s="31">
        <f t="shared" si="1"/>
        <v>2738916.26</v>
      </c>
      <c r="Q12" s="31">
        <f t="shared" si="1"/>
        <v>0</v>
      </c>
      <c r="R12" s="31">
        <f t="shared" si="1"/>
        <v>0</v>
      </c>
      <c r="S12" s="31">
        <f t="shared" si="1"/>
        <v>0</v>
      </c>
      <c r="T12" s="31">
        <f t="shared" si="1"/>
        <v>0</v>
      </c>
      <c r="U12" s="31">
        <f t="shared" si="1"/>
        <v>0</v>
      </c>
      <c r="V12" s="31">
        <f t="shared" si="1"/>
        <v>0</v>
      </c>
      <c r="W12" s="31">
        <f t="shared" si="1"/>
        <v>0</v>
      </c>
      <c r="X12" s="31">
        <f t="shared" si="1"/>
        <v>0</v>
      </c>
      <c r="Y12" s="31">
        <f t="shared" si="1"/>
        <v>0</v>
      </c>
      <c r="Z12" s="31">
        <f t="shared" si="1"/>
        <v>0</v>
      </c>
      <c r="AA12" s="31">
        <f t="shared" si="1"/>
        <v>0</v>
      </c>
      <c r="AB12" s="31">
        <f t="shared" si="1"/>
        <v>0</v>
      </c>
      <c r="AC12" s="31">
        <f t="shared" si="1"/>
        <v>0</v>
      </c>
      <c r="AD12" s="31">
        <f t="shared" si="1"/>
        <v>0</v>
      </c>
      <c r="AE12" s="67">
        <f t="shared" si="1"/>
        <v>41083.74</v>
      </c>
      <c r="AF12" s="67">
        <f t="shared" si="1"/>
        <v>0</v>
      </c>
      <c r="AG12" s="68">
        <f t="shared" si="1"/>
        <v>0</v>
      </c>
      <c r="AH12" s="35" t="s">
        <v>934</v>
      </c>
      <c r="AI12" s="35" t="s">
        <v>934</v>
      </c>
      <c r="AJ12" s="35" t="s">
        <v>934</v>
      </c>
    </row>
    <row r="13" spans="1:36" s="20" customFormat="1" ht="61.5" x14ac:dyDescent="0.85">
      <c r="A13" s="20">
        <v>1</v>
      </c>
      <c r="B13" s="66">
        <f>SUBTOTAL(103,$A13:A$13)</f>
        <v>1</v>
      </c>
      <c r="C13" s="24" t="s">
        <v>1084</v>
      </c>
      <c r="D13" s="68" t="s">
        <v>1103</v>
      </c>
      <c r="E13" s="69">
        <v>1.0055000000000001</v>
      </c>
      <c r="F13" s="31">
        <f>G13+H13+I13+J13+K13+L13+N13+P13+R13+T13+V13+W13+X13+Y13+Z13+AA13+AB13+AC13+AD13+AE13+AF13+AG13</f>
        <v>2780000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77">
        <v>0</v>
      </c>
      <c r="N13" s="31">
        <v>0</v>
      </c>
      <c r="O13" s="31">
        <v>600</v>
      </c>
      <c r="P13" s="31">
        <v>2738916.26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67">
        <f>ROUND(P13*1.5%,2)</f>
        <v>41083.74</v>
      </c>
      <c r="AF13" s="67">
        <v>0</v>
      </c>
      <c r="AG13" s="68">
        <v>0</v>
      </c>
      <c r="AH13" s="35" t="s">
        <v>274</v>
      </c>
      <c r="AI13" s="35">
        <v>2020</v>
      </c>
      <c r="AJ13" s="35">
        <v>2020</v>
      </c>
    </row>
    <row r="14" spans="1:36" s="20" customFormat="1" ht="61.5" x14ac:dyDescent="0.85">
      <c r="B14" s="70" t="s">
        <v>1111</v>
      </c>
      <c r="C14" s="24"/>
      <c r="D14" s="68" t="s">
        <v>934</v>
      </c>
      <c r="E14" s="69">
        <f>AVERAGE(E15:E22)</f>
        <v>1.0043124999999999</v>
      </c>
      <c r="F14" s="31">
        <f t="shared" ref="F14:AG14" si="2">SUM(F15:F22)</f>
        <v>21280025.006305423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77">
        <f t="shared" si="2"/>
        <v>0</v>
      </c>
      <c r="N14" s="31">
        <f t="shared" si="2"/>
        <v>0</v>
      </c>
      <c r="O14" s="31">
        <f t="shared" si="2"/>
        <v>3795.9</v>
      </c>
      <c r="P14" s="31">
        <f t="shared" si="2"/>
        <v>16975416.550000001</v>
      </c>
      <c r="Q14" s="31">
        <f t="shared" si="2"/>
        <v>0</v>
      </c>
      <c r="R14" s="31">
        <f t="shared" si="2"/>
        <v>0</v>
      </c>
      <c r="S14" s="31">
        <f t="shared" si="2"/>
        <v>910</v>
      </c>
      <c r="T14" s="31">
        <f t="shared" si="2"/>
        <v>3355057.1463054186</v>
      </c>
      <c r="U14" s="31">
        <f t="shared" si="2"/>
        <v>0</v>
      </c>
      <c r="V14" s="31">
        <f t="shared" si="2"/>
        <v>0</v>
      </c>
      <c r="W14" s="31">
        <f t="shared" si="2"/>
        <v>0</v>
      </c>
      <c r="X14" s="31">
        <f t="shared" si="2"/>
        <v>0</v>
      </c>
      <c r="Y14" s="31">
        <f t="shared" si="2"/>
        <v>0</v>
      </c>
      <c r="Z14" s="31">
        <f t="shared" si="2"/>
        <v>0</v>
      </c>
      <c r="AA14" s="31">
        <f t="shared" si="2"/>
        <v>0</v>
      </c>
      <c r="AB14" s="31">
        <f t="shared" si="2"/>
        <v>0</v>
      </c>
      <c r="AC14" s="31">
        <f t="shared" si="2"/>
        <v>0</v>
      </c>
      <c r="AD14" s="31">
        <f t="shared" si="2"/>
        <v>0</v>
      </c>
      <c r="AE14" s="31">
        <f t="shared" si="2"/>
        <v>304957.10000000003</v>
      </c>
      <c r="AF14" s="31">
        <f t="shared" si="2"/>
        <v>644594.21</v>
      </c>
      <c r="AG14" s="31">
        <f t="shared" si="2"/>
        <v>0</v>
      </c>
      <c r="AH14" s="35" t="s">
        <v>934</v>
      </c>
      <c r="AI14" s="35" t="s">
        <v>934</v>
      </c>
      <c r="AJ14" s="35" t="s">
        <v>934</v>
      </c>
    </row>
    <row r="15" spans="1:36" s="20" customFormat="1" ht="61.5" x14ac:dyDescent="0.85">
      <c r="A15" s="20">
        <v>1</v>
      </c>
      <c r="B15" s="66">
        <f>SUBTOTAL(103,$A$13:A15)</f>
        <v>2</v>
      </c>
      <c r="C15" s="24" t="s">
        <v>1085</v>
      </c>
      <c r="D15" s="68" t="s">
        <v>1104</v>
      </c>
      <c r="E15" s="69">
        <v>1.0047999999999999</v>
      </c>
      <c r="F15" s="31">
        <f t="shared" ref="F15:F62" si="3">G15+H15+I15+J15+K15+L15+N15+P15+R15+T15+V15+W15+X15+Y15+Z15+AA15+AB15+AC15+AD15+AE15+AF15+AG15</f>
        <v>7302960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77">
        <v>0</v>
      </c>
      <c r="N15" s="31">
        <v>0</v>
      </c>
      <c r="O15" s="31">
        <v>1557.9</v>
      </c>
      <c r="P15" s="31">
        <v>7195034.4800000004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67">
        <f>ROUND(P15*1.5%,2)</f>
        <v>107925.52</v>
      </c>
      <c r="AF15" s="67">
        <v>0</v>
      </c>
      <c r="AG15" s="68">
        <v>0</v>
      </c>
      <c r="AH15" s="35" t="s">
        <v>274</v>
      </c>
      <c r="AI15" s="35">
        <v>2020</v>
      </c>
      <c r="AJ15" s="35">
        <v>2020</v>
      </c>
    </row>
    <row r="16" spans="1:36" s="20" customFormat="1" ht="61.5" x14ac:dyDescent="0.85">
      <c r="A16" s="20">
        <v>1</v>
      </c>
      <c r="B16" s="66">
        <f>SUBTOTAL(103,$A$13:A16)</f>
        <v>3</v>
      </c>
      <c r="C16" s="24" t="s">
        <v>1086</v>
      </c>
      <c r="D16" s="68" t="s">
        <v>1103</v>
      </c>
      <c r="E16" s="69">
        <v>1</v>
      </c>
      <c r="F16" s="31">
        <f t="shared" si="3"/>
        <v>1077000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77">
        <v>0</v>
      </c>
      <c r="N16" s="31">
        <v>0</v>
      </c>
      <c r="O16" s="31">
        <v>240</v>
      </c>
      <c r="P16" s="31">
        <v>972413.79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67">
        <f>ROUND(P16*1.5%,2)</f>
        <v>14586.21</v>
      </c>
      <c r="AF16" s="67">
        <v>90000</v>
      </c>
      <c r="AG16" s="68">
        <v>0</v>
      </c>
      <c r="AH16" s="35">
        <v>2020</v>
      </c>
      <c r="AI16" s="35">
        <v>2020</v>
      </c>
      <c r="AJ16" s="35">
        <v>2020</v>
      </c>
    </row>
    <row r="17" spans="1:36" s="20" customFormat="1" ht="61.5" x14ac:dyDescent="0.85">
      <c r="A17" s="20">
        <v>1</v>
      </c>
      <c r="B17" s="66">
        <f>SUBTOTAL(103,$A$13:A17)</f>
        <v>4</v>
      </c>
      <c r="C17" s="24" t="s">
        <v>1087</v>
      </c>
      <c r="D17" s="68" t="s">
        <v>1105</v>
      </c>
      <c r="E17" s="69">
        <v>1.0003</v>
      </c>
      <c r="F17" s="31">
        <f t="shared" si="3"/>
        <v>1153050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77">
        <v>0</v>
      </c>
      <c r="N17" s="31">
        <v>0</v>
      </c>
      <c r="O17" s="31">
        <v>257</v>
      </c>
      <c r="P17" s="31">
        <v>1047339.9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67">
        <f>ROUND(P17*1.5%,2)</f>
        <v>15710.1</v>
      </c>
      <c r="AF17" s="67">
        <v>90000</v>
      </c>
      <c r="AG17" s="68">
        <v>0</v>
      </c>
      <c r="AH17" s="35">
        <v>2020</v>
      </c>
      <c r="AI17" s="35">
        <v>2020</v>
      </c>
      <c r="AJ17" s="35">
        <v>2020</v>
      </c>
    </row>
    <row r="18" spans="1:36" s="20" customFormat="1" ht="61.5" x14ac:dyDescent="0.85">
      <c r="A18" s="20">
        <v>1</v>
      </c>
      <c r="B18" s="66">
        <f>SUBTOTAL(103,$A$13:A18)</f>
        <v>5</v>
      </c>
      <c r="C18" s="24" t="s">
        <v>1100</v>
      </c>
      <c r="D18" s="68" t="s">
        <v>1104</v>
      </c>
      <c r="E18" s="69">
        <v>1.0178</v>
      </c>
      <c r="F18" s="31">
        <f t="shared" si="3"/>
        <v>1588190.9963054184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77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340</v>
      </c>
      <c r="T18" s="31">
        <v>1476050.2463054184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67">
        <f>ROUND(T18*1.5%,2)</f>
        <v>22140.75</v>
      </c>
      <c r="AF18" s="67">
        <v>90000</v>
      </c>
      <c r="AG18" s="68">
        <v>0</v>
      </c>
      <c r="AH18" s="35">
        <v>2020</v>
      </c>
      <c r="AI18" s="35">
        <v>2020</v>
      </c>
      <c r="AJ18" s="35">
        <v>2020</v>
      </c>
    </row>
    <row r="19" spans="1:36" s="20" customFormat="1" ht="61.5" x14ac:dyDescent="0.85">
      <c r="A19" s="20">
        <v>1</v>
      </c>
      <c r="B19" s="66">
        <f>SUBTOTAL(103,$A$13:A19)</f>
        <v>6</v>
      </c>
      <c r="C19" s="24" t="s">
        <v>1146</v>
      </c>
      <c r="D19" s="68" t="s">
        <v>1106</v>
      </c>
      <c r="E19" s="69">
        <v>1</v>
      </c>
      <c r="F19" s="31">
        <f t="shared" si="3"/>
        <v>3773900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77">
        <v>0</v>
      </c>
      <c r="N19" s="31">
        <v>0</v>
      </c>
      <c r="O19" s="31">
        <v>835</v>
      </c>
      <c r="P19" s="31">
        <v>3619605.91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67">
        <f t="shared" ref="AE19" si="4">ROUND(P19*1.5%,2)</f>
        <v>54294.09</v>
      </c>
      <c r="AF19" s="67">
        <v>100000</v>
      </c>
      <c r="AG19" s="68">
        <v>0</v>
      </c>
      <c r="AH19" s="35">
        <v>2020</v>
      </c>
      <c r="AI19" s="35">
        <v>2020</v>
      </c>
      <c r="AJ19" s="35">
        <v>2020</v>
      </c>
    </row>
    <row r="20" spans="1:36" s="20" customFormat="1" ht="61.5" x14ac:dyDescent="0.85">
      <c r="A20" s="20">
        <v>1</v>
      </c>
      <c r="B20" s="66">
        <f>SUBTOTAL(103,$A$13:A20)</f>
        <v>7</v>
      </c>
      <c r="C20" s="24" t="s">
        <v>1155</v>
      </c>
      <c r="D20" s="68" t="s">
        <v>1106</v>
      </c>
      <c r="E20" s="69">
        <v>1.0026999999999999</v>
      </c>
      <c r="F20" s="31">
        <f t="shared" si="3"/>
        <v>1997192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77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570</v>
      </c>
      <c r="T20" s="31">
        <v>1879006.9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67">
        <f>ROUND(T20*1.5%,2)</f>
        <v>28185.1</v>
      </c>
      <c r="AF20" s="67">
        <v>90000</v>
      </c>
      <c r="AG20" s="68">
        <v>0</v>
      </c>
      <c r="AH20" s="35">
        <v>2020</v>
      </c>
      <c r="AI20" s="35">
        <v>2020</v>
      </c>
      <c r="AJ20" s="35">
        <v>2020</v>
      </c>
    </row>
    <row r="21" spans="1:36" s="20" customFormat="1" ht="61.5" x14ac:dyDescent="0.85">
      <c r="A21" s="20">
        <v>1</v>
      </c>
      <c r="B21" s="66">
        <f>SUBTOTAL(103,$A$13:A21)</f>
        <v>8</v>
      </c>
      <c r="C21" s="24" t="s">
        <v>1156</v>
      </c>
      <c r="D21" s="68" t="s">
        <v>1104</v>
      </c>
      <c r="E21" s="69">
        <v>1.0053000000000001</v>
      </c>
      <c r="F21" s="31">
        <f t="shared" si="3"/>
        <v>2372807.9900000002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77">
        <v>0</v>
      </c>
      <c r="N21" s="31">
        <v>0</v>
      </c>
      <c r="O21" s="31">
        <v>550</v>
      </c>
      <c r="P21" s="31">
        <v>2244545.6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67">
        <f>ROUND(P21*1.5%,2)</f>
        <v>33668.18</v>
      </c>
      <c r="AF21" s="67">
        <f>90000+4594.21</f>
        <v>94594.21</v>
      </c>
      <c r="AG21" s="68">
        <v>0</v>
      </c>
      <c r="AH21" s="35">
        <v>2020</v>
      </c>
      <c r="AI21" s="35">
        <v>2020</v>
      </c>
      <c r="AJ21" s="35">
        <v>2020</v>
      </c>
    </row>
    <row r="22" spans="1:36" s="20" customFormat="1" ht="61.5" x14ac:dyDescent="0.85">
      <c r="A22" s="20">
        <v>1</v>
      </c>
      <c r="B22" s="66">
        <f>SUBTOTAL(103,$A$13:A22)</f>
        <v>9</v>
      </c>
      <c r="C22" s="24" t="s">
        <v>1479</v>
      </c>
      <c r="D22" s="68" t="s">
        <v>1104</v>
      </c>
      <c r="E22" s="69">
        <v>1.0036</v>
      </c>
      <c r="F22" s="31">
        <f t="shared" si="3"/>
        <v>2014924.02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77">
        <v>0</v>
      </c>
      <c r="N22" s="31">
        <v>0</v>
      </c>
      <c r="O22" s="31">
        <v>356</v>
      </c>
      <c r="P22" s="31">
        <v>1896476.87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67">
        <f>ROUND(P22*1.5%,2)</f>
        <v>28447.15</v>
      </c>
      <c r="AF22" s="67">
        <v>90000</v>
      </c>
      <c r="AG22" s="68">
        <v>0</v>
      </c>
      <c r="AH22" s="35">
        <v>2020</v>
      </c>
      <c r="AI22" s="35">
        <v>2020</v>
      </c>
      <c r="AJ22" s="35">
        <v>2020</v>
      </c>
    </row>
    <row r="23" spans="1:36" s="20" customFormat="1" ht="61.5" x14ac:dyDescent="0.85">
      <c r="B23" s="70" t="s">
        <v>862</v>
      </c>
      <c r="C23" s="24"/>
      <c r="D23" s="68" t="s">
        <v>934</v>
      </c>
      <c r="E23" s="69">
        <f>AVERAGE(E24)</f>
        <v>1.0267999999999999</v>
      </c>
      <c r="F23" s="31">
        <f>F24</f>
        <v>1376400</v>
      </c>
      <c r="G23" s="31">
        <f t="shared" ref="G23:AG23" si="5">G24</f>
        <v>0</v>
      </c>
      <c r="H23" s="31">
        <f t="shared" si="5"/>
        <v>0</v>
      </c>
      <c r="I23" s="31">
        <f t="shared" si="5"/>
        <v>0</v>
      </c>
      <c r="J23" s="31">
        <f t="shared" si="5"/>
        <v>0</v>
      </c>
      <c r="K23" s="31">
        <f t="shared" si="5"/>
        <v>0</v>
      </c>
      <c r="L23" s="31">
        <f t="shared" si="5"/>
        <v>0</v>
      </c>
      <c r="M23" s="77">
        <f t="shared" si="5"/>
        <v>0</v>
      </c>
      <c r="N23" s="31">
        <f t="shared" si="5"/>
        <v>0</v>
      </c>
      <c r="O23" s="31">
        <f t="shared" si="5"/>
        <v>286.75</v>
      </c>
      <c r="P23" s="31">
        <f t="shared" si="5"/>
        <v>1267389.1599999999</v>
      </c>
      <c r="Q23" s="31">
        <f t="shared" si="5"/>
        <v>0</v>
      </c>
      <c r="R23" s="31">
        <f t="shared" si="5"/>
        <v>0</v>
      </c>
      <c r="S23" s="31">
        <f t="shared" si="5"/>
        <v>0</v>
      </c>
      <c r="T23" s="31">
        <f t="shared" si="5"/>
        <v>0</v>
      </c>
      <c r="U23" s="31">
        <f t="shared" si="5"/>
        <v>0</v>
      </c>
      <c r="V23" s="31">
        <f t="shared" si="5"/>
        <v>0</v>
      </c>
      <c r="W23" s="31">
        <f t="shared" si="5"/>
        <v>0</v>
      </c>
      <c r="X23" s="31">
        <f t="shared" si="5"/>
        <v>0</v>
      </c>
      <c r="Y23" s="31">
        <f t="shared" si="5"/>
        <v>0</v>
      </c>
      <c r="Z23" s="31">
        <f t="shared" si="5"/>
        <v>0</v>
      </c>
      <c r="AA23" s="31">
        <f t="shared" si="5"/>
        <v>0</v>
      </c>
      <c r="AB23" s="31">
        <f t="shared" si="5"/>
        <v>0</v>
      </c>
      <c r="AC23" s="31">
        <f t="shared" si="5"/>
        <v>0</v>
      </c>
      <c r="AD23" s="31">
        <f t="shared" si="5"/>
        <v>0</v>
      </c>
      <c r="AE23" s="67">
        <f t="shared" si="5"/>
        <v>19010.84</v>
      </c>
      <c r="AF23" s="67">
        <f t="shared" si="5"/>
        <v>90000</v>
      </c>
      <c r="AG23" s="68">
        <f t="shared" si="5"/>
        <v>0</v>
      </c>
      <c r="AH23" s="35" t="s">
        <v>934</v>
      </c>
      <c r="AI23" s="35" t="s">
        <v>934</v>
      </c>
      <c r="AJ23" s="35" t="s">
        <v>934</v>
      </c>
    </row>
    <row r="24" spans="1:36" s="20" customFormat="1" ht="61.5" x14ac:dyDescent="0.85">
      <c r="A24" s="20">
        <v>1</v>
      </c>
      <c r="B24" s="66">
        <f>SUBTOTAL(103,$A$13:A24)</f>
        <v>10</v>
      </c>
      <c r="C24" s="24" t="s">
        <v>717</v>
      </c>
      <c r="D24" s="68" t="s">
        <v>1106</v>
      </c>
      <c r="E24" s="69">
        <v>1.0267999999999999</v>
      </c>
      <c r="F24" s="31">
        <f t="shared" si="3"/>
        <v>1376400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77">
        <v>0</v>
      </c>
      <c r="N24" s="31">
        <v>0</v>
      </c>
      <c r="O24" s="31">
        <v>286.75</v>
      </c>
      <c r="P24" s="31">
        <v>1267389.1599999999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67">
        <f>ROUND(P24*1.5%,2)</f>
        <v>19010.84</v>
      </c>
      <c r="AF24" s="67">
        <v>90000</v>
      </c>
      <c r="AG24" s="68">
        <v>0</v>
      </c>
      <c r="AH24" s="35">
        <v>2020</v>
      </c>
      <c r="AI24" s="35">
        <v>2020</v>
      </c>
      <c r="AJ24" s="35">
        <v>2020</v>
      </c>
    </row>
    <row r="25" spans="1:36" s="20" customFormat="1" ht="61.5" x14ac:dyDescent="0.85">
      <c r="B25" s="70" t="s">
        <v>866</v>
      </c>
      <c r="C25" s="24"/>
      <c r="D25" s="68" t="s">
        <v>934</v>
      </c>
      <c r="E25" s="69">
        <f>AVERAGE(E26)</f>
        <v>1</v>
      </c>
      <c r="F25" s="31">
        <f>F26</f>
        <v>6235729.1299999999</v>
      </c>
      <c r="G25" s="31">
        <f t="shared" ref="G25:AG25" si="6">G26</f>
        <v>0</v>
      </c>
      <c r="H25" s="31">
        <f t="shared" si="6"/>
        <v>0</v>
      </c>
      <c r="I25" s="31">
        <f t="shared" si="6"/>
        <v>0</v>
      </c>
      <c r="J25" s="31">
        <f t="shared" si="6"/>
        <v>0</v>
      </c>
      <c r="K25" s="31">
        <f t="shared" si="6"/>
        <v>0</v>
      </c>
      <c r="L25" s="31">
        <f t="shared" si="6"/>
        <v>0</v>
      </c>
      <c r="M25" s="77">
        <f t="shared" si="6"/>
        <v>0</v>
      </c>
      <c r="N25" s="31">
        <f t="shared" si="6"/>
        <v>0</v>
      </c>
      <c r="O25" s="31">
        <f t="shared" si="6"/>
        <v>1250</v>
      </c>
      <c r="P25" s="31">
        <f t="shared" si="6"/>
        <v>6143575.5</v>
      </c>
      <c r="Q25" s="31">
        <f t="shared" si="6"/>
        <v>0</v>
      </c>
      <c r="R25" s="31">
        <f t="shared" si="6"/>
        <v>0</v>
      </c>
      <c r="S25" s="31">
        <f t="shared" si="6"/>
        <v>0</v>
      </c>
      <c r="T25" s="31">
        <f t="shared" si="6"/>
        <v>0</v>
      </c>
      <c r="U25" s="31">
        <f t="shared" si="6"/>
        <v>0</v>
      </c>
      <c r="V25" s="31">
        <f t="shared" si="6"/>
        <v>0</v>
      </c>
      <c r="W25" s="31">
        <f t="shared" si="6"/>
        <v>0</v>
      </c>
      <c r="X25" s="31">
        <f t="shared" si="6"/>
        <v>0</v>
      </c>
      <c r="Y25" s="31">
        <f t="shared" si="6"/>
        <v>0</v>
      </c>
      <c r="Z25" s="31">
        <f t="shared" si="6"/>
        <v>0</v>
      </c>
      <c r="AA25" s="31">
        <f t="shared" si="6"/>
        <v>0</v>
      </c>
      <c r="AB25" s="31">
        <f t="shared" si="6"/>
        <v>0</v>
      </c>
      <c r="AC25" s="31">
        <f t="shared" si="6"/>
        <v>0</v>
      </c>
      <c r="AD25" s="31">
        <f t="shared" si="6"/>
        <v>0</v>
      </c>
      <c r="AE25" s="67">
        <f t="shared" si="6"/>
        <v>92153.63</v>
      </c>
      <c r="AF25" s="67">
        <f t="shared" si="6"/>
        <v>0</v>
      </c>
      <c r="AG25" s="68">
        <f t="shared" si="6"/>
        <v>0</v>
      </c>
      <c r="AH25" s="35" t="s">
        <v>934</v>
      </c>
      <c r="AI25" s="35" t="s">
        <v>934</v>
      </c>
      <c r="AJ25" s="35" t="s">
        <v>934</v>
      </c>
    </row>
    <row r="26" spans="1:36" s="20" customFormat="1" ht="61.5" x14ac:dyDescent="0.85">
      <c r="A26" s="20">
        <v>1</v>
      </c>
      <c r="B26" s="66">
        <f>SUBTOTAL(103,$A$13:A26)</f>
        <v>11</v>
      </c>
      <c r="C26" s="24" t="s">
        <v>1135</v>
      </c>
      <c r="D26" s="68" t="s">
        <v>1107</v>
      </c>
      <c r="E26" s="69">
        <v>1</v>
      </c>
      <c r="F26" s="31">
        <f t="shared" si="3"/>
        <v>6235729.1299999999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77">
        <v>0</v>
      </c>
      <c r="N26" s="31">
        <v>0</v>
      </c>
      <c r="O26" s="31">
        <v>1250</v>
      </c>
      <c r="P26" s="31">
        <v>6143575.5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67">
        <f>ROUND(P26*1.5%,2)</f>
        <v>92153.63</v>
      </c>
      <c r="AF26" s="67">
        <v>0</v>
      </c>
      <c r="AG26" s="68">
        <v>0</v>
      </c>
      <c r="AH26" s="35" t="s">
        <v>274</v>
      </c>
      <c r="AI26" s="35">
        <v>2020</v>
      </c>
      <c r="AJ26" s="35">
        <v>2020</v>
      </c>
    </row>
    <row r="27" spans="1:36" s="20" customFormat="1" ht="61.5" x14ac:dyDescent="0.85">
      <c r="B27" s="70" t="s">
        <v>867</v>
      </c>
      <c r="C27" s="24"/>
      <c r="D27" s="68" t="s">
        <v>934</v>
      </c>
      <c r="E27" s="69">
        <f>AVERAGE(E28)</f>
        <v>1.0308999999999999</v>
      </c>
      <c r="F27" s="31">
        <f>F28</f>
        <v>1405440</v>
      </c>
      <c r="G27" s="31">
        <f t="shared" ref="G27:AG27" si="7">G28</f>
        <v>0</v>
      </c>
      <c r="H27" s="31">
        <f t="shared" si="7"/>
        <v>0</v>
      </c>
      <c r="I27" s="31">
        <f t="shared" si="7"/>
        <v>0</v>
      </c>
      <c r="J27" s="31">
        <f t="shared" si="7"/>
        <v>0</v>
      </c>
      <c r="K27" s="31">
        <f t="shared" si="7"/>
        <v>0</v>
      </c>
      <c r="L27" s="31">
        <f t="shared" si="7"/>
        <v>0</v>
      </c>
      <c r="M27" s="77">
        <f t="shared" si="7"/>
        <v>0</v>
      </c>
      <c r="N27" s="31">
        <f t="shared" si="7"/>
        <v>0</v>
      </c>
      <c r="O27" s="31">
        <f t="shared" si="7"/>
        <v>292.8</v>
      </c>
      <c r="P27" s="31">
        <f t="shared" si="7"/>
        <v>1296000</v>
      </c>
      <c r="Q27" s="31">
        <f t="shared" si="7"/>
        <v>0</v>
      </c>
      <c r="R27" s="31">
        <f t="shared" si="7"/>
        <v>0</v>
      </c>
      <c r="S27" s="31">
        <f t="shared" si="7"/>
        <v>0</v>
      </c>
      <c r="T27" s="31">
        <f t="shared" si="7"/>
        <v>0</v>
      </c>
      <c r="U27" s="31">
        <f t="shared" si="7"/>
        <v>0</v>
      </c>
      <c r="V27" s="31">
        <f t="shared" si="7"/>
        <v>0</v>
      </c>
      <c r="W27" s="31">
        <f t="shared" si="7"/>
        <v>0</v>
      </c>
      <c r="X27" s="31">
        <f t="shared" si="7"/>
        <v>0</v>
      </c>
      <c r="Y27" s="31">
        <f t="shared" si="7"/>
        <v>0</v>
      </c>
      <c r="Z27" s="31">
        <f t="shared" si="7"/>
        <v>0</v>
      </c>
      <c r="AA27" s="31">
        <f t="shared" si="7"/>
        <v>0</v>
      </c>
      <c r="AB27" s="31">
        <f t="shared" si="7"/>
        <v>0</v>
      </c>
      <c r="AC27" s="31">
        <f t="shared" si="7"/>
        <v>0</v>
      </c>
      <c r="AD27" s="31">
        <f t="shared" si="7"/>
        <v>0</v>
      </c>
      <c r="AE27" s="67">
        <f t="shared" si="7"/>
        <v>19440</v>
      </c>
      <c r="AF27" s="67">
        <f t="shared" si="7"/>
        <v>90000</v>
      </c>
      <c r="AG27" s="68">
        <f t="shared" si="7"/>
        <v>0</v>
      </c>
      <c r="AH27" s="35" t="s">
        <v>934</v>
      </c>
      <c r="AI27" s="35" t="s">
        <v>934</v>
      </c>
      <c r="AJ27" s="35" t="s">
        <v>934</v>
      </c>
    </row>
    <row r="28" spans="1:36" s="20" customFormat="1" ht="61.5" x14ac:dyDescent="0.85">
      <c r="A28" s="20">
        <v>1</v>
      </c>
      <c r="B28" s="66">
        <f>SUBTOTAL(103,$A$13:A28)</f>
        <v>12</v>
      </c>
      <c r="C28" s="24" t="s">
        <v>1088</v>
      </c>
      <c r="D28" s="68" t="s">
        <v>1103</v>
      </c>
      <c r="E28" s="69">
        <v>1.0308999999999999</v>
      </c>
      <c r="F28" s="31">
        <f t="shared" si="3"/>
        <v>1405440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77">
        <v>0</v>
      </c>
      <c r="N28" s="31">
        <v>0</v>
      </c>
      <c r="O28" s="31">
        <v>292.8</v>
      </c>
      <c r="P28" s="31">
        <v>1296000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67">
        <f>ROUND(P28*1.5%,2)</f>
        <v>19440</v>
      </c>
      <c r="AF28" s="67">
        <v>90000</v>
      </c>
      <c r="AG28" s="68">
        <v>0</v>
      </c>
      <c r="AH28" s="35">
        <v>2020</v>
      </c>
      <c r="AI28" s="35">
        <v>2020</v>
      </c>
      <c r="AJ28" s="35">
        <v>2020</v>
      </c>
    </row>
    <row r="29" spans="1:36" s="20" customFormat="1" ht="61.5" x14ac:dyDescent="0.85">
      <c r="B29" s="70" t="s">
        <v>1112</v>
      </c>
      <c r="C29" s="24"/>
      <c r="D29" s="68" t="s">
        <v>934</v>
      </c>
      <c r="E29" s="69">
        <f>AVERAGE(E30:E31)</f>
        <v>1.0206</v>
      </c>
      <c r="F29" s="31">
        <f t="shared" ref="F29:AG29" si="8">SUM(F30:F31)</f>
        <v>3363253.9701477829</v>
      </c>
      <c r="G29" s="31">
        <f t="shared" si="8"/>
        <v>0</v>
      </c>
      <c r="H29" s="31">
        <f t="shared" si="8"/>
        <v>0</v>
      </c>
      <c r="I29" s="31">
        <f t="shared" si="8"/>
        <v>0</v>
      </c>
      <c r="J29" s="31">
        <f t="shared" si="8"/>
        <v>0</v>
      </c>
      <c r="K29" s="31">
        <f t="shared" si="8"/>
        <v>0</v>
      </c>
      <c r="L29" s="31">
        <f t="shared" si="8"/>
        <v>0</v>
      </c>
      <c r="M29" s="77">
        <f t="shared" si="8"/>
        <v>0</v>
      </c>
      <c r="N29" s="31">
        <f t="shared" si="8"/>
        <v>0</v>
      </c>
      <c r="O29" s="31">
        <f t="shared" si="8"/>
        <v>380</v>
      </c>
      <c r="P29" s="31">
        <f t="shared" si="8"/>
        <v>1708374.38</v>
      </c>
      <c r="Q29" s="31">
        <f t="shared" si="8"/>
        <v>0</v>
      </c>
      <c r="R29" s="31">
        <f t="shared" si="8"/>
        <v>0</v>
      </c>
      <c r="S29" s="31">
        <f t="shared" si="8"/>
        <v>429.61</v>
      </c>
      <c r="T29" s="31">
        <f t="shared" si="8"/>
        <v>1408131.9901477832</v>
      </c>
      <c r="U29" s="31">
        <f t="shared" si="8"/>
        <v>0</v>
      </c>
      <c r="V29" s="31">
        <f t="shared" si="8"/>
        <v>0</v>
      </c>
      <c r="W29" s="31">
        <f t="shared" si="8"/>
        <v>0</v>
      </c>
      <c r="X29" s="31">
        <f t="shared" si="8"/>
        <v>0</v>
      </c>
      <c r="Y29" s="31">
        <f t="shared" si="8"/>
        <v>0</v>
      </c>
      <c r="Z29" s="31">
        <f t="shared" si="8"/>
        <v>0</v>
      </c>
      <c r="AA29" s="31">
        <f t="shared" si="8"/>
        <v>0</v>
      </c>
      <c r="AB29" s="31">
        <f t="shared" si="8"/>
        <v>0</v>
      </c>
      <c r="AC29" s="31">
        <f t="shared" si="8"/>
        <v>0</v>
      </c>
      <c r="AD29" s="31">
        <f t="shared" si="8"/>
        <v>0</v>
      </c>
      <c r="AE29" s="67">
        <f t="shared" si="8"/>
        <v>46747.6</v>
      </c>
      <c r="AF29" s="67">
        <f t="shared" si="8"/>
        <v>200000</v>
      </c>
      <c r="AG29" s="68">
        <f t="shared" si="8"/>
        <v>0</v>
      </c>
      <c r="AH29" s="35" t="s">
        <v>934</v>
      </c>
      <c r="AI29" s="35" t="s">
        <v>934</v>
      </c>
      <c r="AJ29" s="35" t="s">
        <v>934</v>
      </c>
    </row>
    <row r="30" spans="1:36" s="20" customFormat="1" ht="61.5" x14ac:dyDescent="0.85">
      <c r="A30" s="20">
        <v>1</v>
      </c>
      <c r="B30" s="66">
        <f>SUBTOTAL(103,$A$13:A30)</f>
        <v>13</v>
      </c>
      <c r="C30" s="24" t="s">
        <v>1089</v>
      </c>
      <c r="D30" s="68" t="s">
        <v>1106</v>
      </c>
      <c r="E30" s="69">
        <v>1.0385</v>
      </c>
      <c r="F30" s="31">
        <f t="shared" si="3"/>
        <v>1824000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77">
        <v>0</v>
      </c>
      <c r="N30" s="31">
        <v>0</v>
      </c>
      <c r="O30" s="31">
        <v>380</v>
      </c>
      <c r="P30" s="31">
        <v>1708374.38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67">
        <f>ROUND(P30*1.5%,2)</f>
        <v>25625.62</v>
      </c>
      <c r="AF30" s="67">
        <v>90000</v>
      </c>
      <c r="AG30" s="68">
        <v>0</v>
      </c>
      <c r="AH30" s="35">
        <v>2020</v>
      </c>
      <c r="AI30" s="35">
        <v>2020</v>
      </c>
      <c r="AJ30" s="35">
        <v>2020</v>
      </c>
    </row>
    <row r="31" spans="1:36" s="20" customFormat="1" ht="61.5" x14ac:dyDescent="0.85">
      <c r="A31" s="20">
        <v>1</v>
      </c>
      <c r="B31" s="66">
        <f>SUBTOTAL(103,$A$13:A31)</f>
        <v>14</v>
      </c>
      <c r="C31" s="24" t="s">
        <v>1090</v>
      </c>
      <c r="D31" s="68" t="s">
        <v>1106</v>
      </c>
      <c r="E31" s="69">
        <v>1.0026999999999999</v>
      </c>
      <c r="F31" s="31">
        <f t="shared" si="3"/>
        <v>1539253.9701477832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77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429.61</v>
      </c>
      <c r="T31" s="31">
        <v>1408131.9901477832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67">
        <f>ROUND(T31*1.5%,2)</f>
        <v>21121.98</v>
      </c>
      <c r="AF31" s="67">
        <v>110000</v>
      </c>
      <c r="AG31" s="68">
        <v>0</v>
      </c>
      <c r="AH31" s="35">
        <v>2020</v>
      </c>
      <c r="AI31" s="35">
        <v>2020</v>
      </c>
      <c r="AJ31" s="35">
        <v>2020</v>
      </c>
    </row>
    <row r="32" spans="1:36" s="20" customFormat="1" ht="61.5" x14ac:dyDescent="0.85">
      <c r="B32" s="70" t="s">
        <v>874</v>
      </c>
      <c r="C32" s="24"/>
      <c r="D32" s="68" t="s">
        <v>934</v>
      </c>
      <c r="E32" s="69">
        <f>AVERAGE(E33:E34)</f>
        <v>1</v>
      </c>
      <c r="F32" s="31">
        <f>SUM(F33:F34)</f>
        <v>3465600.02</v>
      </c>
      <c r="G32" s="31">
        <f t="shared" ref="G32:AG32" si="9">SUM(G33:G34)</f>
        <v>0</v>
      </c>
      <c r="H32" s="31">
        <f t="shared" si="9"/>
        <v>0</v>
      </c>
      <c r="I32" s="31">
        <f t="shared" si="9"/>
        <v>0</v>
      </c>
      <c r="J32" s="31">
        <f t="shared" si="9"/>
        <v>0</v>
      </c>
      <c r="K32" s="31">
        <f t="shared" si="9"/>
        <v>0</v>
      </c>
      <c r="L32" s="31">
        <f t="shared" si="9"/>
        <v>0</v>
      </c>
      <c r="M32" s="77">
        <f t="shared" si="9"/>
        <v>0</v>
      </c>
      <c r="N32" s="31">
        <f t="shared" si="9"/>
        <v>0</v>
      </c>
      <c r="O32" s="31">
        <f t="shared" si="9"/>
        <v>722</v>
      </c>
      <c r="P32" s="31">
        <f t="shared" si="9"/>
        <v>3227192.12</v>
      </c>
      <c r="Q32" s="31">
        <f t="shared" si="9"/>
        <v>0</v>
      </c>
      <c r="R32" s="31">
        <f t="shared" si="9"/>
        <v>0</v>
      </c>
      <c r="S32" s="31">
        <f t="shared" si="9"/>
        <v>0</v>
      </c>
      <c r="T32" s="31">
        <f t="shared" si="9"/>
        <v>0</v>
      </c>
      <c r="U32" s="31">
        <f t="shared" si="9"/>
        <v>0</v>
      </c>
      <c r="V32" s="31">
        <f t="shared" si="9"/>
        <v>0</v>
      </c>
      <c r="W32" s="31">
        <f t="shared" si="9"/>
        <v>0</v>
      </c>
      <c r="X32" s="31">
        <f t="shared" si="9"/>
        <v>0</v>
      </c>
      <c r="Y32" s="31">
        <f t="shared" si="9"/>
        <v>0</v>
      </c>
      <c r="Z32" s="31">
        <f t="shared" si="9"/>
        <v>0</v>
      </c>
      <c r="AA32" s="31">
        <f t="shared" si="9"/>
        <v>0</v>
      </c>
      <c r="AB32" s="31">
        <f t="shared" si="9"/>
        <v>0</v>
      </c>
      <c r="AC32" s="31">
        <f t="shared" si="9"/>
        <v>0</v>
      </c>
      <c r="AD32" s="31">
        <f t="shared" si="9"/>
        <v>0</v>
      </c>
      <c r="AE32" s="67">
        <f t="shared" si="9"/>
        <v>48407.88</v>
      </c>
      <c r="AF32" s="67">
        <f t="shared" si="9"/>
        <v>190000.02000000002</v>
      </c>
      <c r="AG32" s="68">
        <f t="shared" si="9"/>
        <v>0</v>
      </c>
      <c r="AH32" s="35" t="s">
        <v>934</v>
      </c>
      <c r="AI32" s="35" t="s">
        <v>934</v>
      </c>
      <c r="AJ32" s="35" t="s">
        <v>934</v>
      </c>
    </row>
    <row r="33" spans="1:36" s="20" customFormat="1" ht="61.5" x14ac:dyDescent="0.85">
      <c r="A33" s="20">
        <v>1</v>
      </c>
      <c r="B33" s="66">
        <f>SUBTOTAL(103,$A$13:A33)</f>
        <v>15</v>
      </c>
      <c r="C33" s="24" t="s">
        <v>1110</v>
      </c>
      <c r="D33" s="68" t="s">
        <v>1104</v>
      </c>
      <c r="E33" s="69">
        <v>1</v>
      </c>
      <c r="F33" s="31">
        <f t="shared" si="3"/>
        <v>2667360.02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77">
        <v>0</v>
      </c>
      <c r="N33" s="31">
        <v>0</v>
      </c>
      <c r="O33" s="31">
        <v>555.70000000000005</v>
      </c>
      <c r="P33" s="31">
        <v>2529418.7200000002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67">
        <f>ROUND(P33*1.5%,2)</f>
        <v>37941.279999999999</v>
      </c>
      <c r="AF33" s="67">
        <v>100000.02</v>
      </c>
      <c r="AG33" s="68">
        <v>0</v>
      </c>
      <c r="AH33" s="35">
        <v>2020</v>
      </c>
      <c r="AI33" s="35">
        <v>2020</v>
      </c>
      <c r="AJ33" s="35">
        <v>2020</v>
      </c>
    </row>
    <row r="34" spans="1:36" s="20" customFormat="1" ht="61.5" x14ac:dyDescent="0.85">
      <c r="A34" s="20">
        <v>1</v>
      </c>
      <c r="B34" s="66">
        <f>SUBTOTAL(103,$A$13:A34)</f>
        <v>16</v>
      </c>
      <c r="C34" s="24" t="s">
        <v>1091</v>
      </c>
      <c r="D34" s="68" t="s">
        <v>1104</v>
      </c>
      <c r="E34" s="69">
        <v>1</v>
      </c>
      <c r="F34" s="31">
        <f t="shared" si="3"/>
        <v>798240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77">
        <v>0</v>
      </c>
      <c r="N34" s="31">
        <v>0</v>
      </c>
      <c r="O34" s="31">
        <v>166.3</v>
      </c>
      <c r="P34" s="31">
        <v>697773.4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67">
        <f>ROUND(P34*1.5%,2)</f>
        <v>10466.6</v>
      </c>
      <c r="AF34" s="67">
        <v>90000</v>
      </c>
      <c r="AG34" s="68">
        <v>0</v>
      </c>
      <c r="AH34" s="35">
        <v>2020</v>
      </c>
      <c r="AI34" s="35">
        <v>2020</v>
      </c>
      <c r="AJ34" s="35">
        <v>2020</v>
      </c>
    </row>
    <row r="35" spans="1:36" s="20" customFormat="1" ht="61.5" x14ac:dyDescent="0.85">
      <c r="B35" s="70" t="s">
        <v>803</v>
      </c>
      <c r="C35" s="24"/>
      <c r="D35" s="68" t="s">
        <v>934</v>
      </c>
      <c r="E35" s="69">
        <f>AVERAGE(E36:E40)</f>
        <v>1.0075000000000001</v>
      </c>
      <c r="F35" s="31">
        <f>SUM(F36:F38)</f>
        <v>5920666.21</v>
      </c>
      <c r="G35" s="31">
        <f t="shared" ref="G35:AG35" si="10">SUM(G36:G38)</f>
        <v>0</v>
      </c>
      <c r="H35" s="31">
        <f t="shared" si="10"/>
        <v>0</v>
      </c>
      <c r="I35" s="31">
        <f t="shared" si="10"/>
        <v>0</v>
      </c>
      <c r="J35" s="31">
        <f t="shared" si="10"/>
        <v>0</v>
      </c>
      <c r="K35" s="31">
        <f t="shared" si="10"/>
        <v>0</v>
      </c>
      <c r="L35" s="31">
        <f t="shared" si="10"/>
        <v>0</v>
      </c>
      <c r="M35" s="77">
        <f t="shared" si="10"/>
        <v>0</v>
      </c>
      <c r="N35" s="31">
        <f t="shared" si="10"/>
        <v>0</v>
      </c>
      <c r="O35" s="31">
        <f t="shared" si="10"/>
        <v>1215.3400000000001</v>
      </c>
      <c r="P35" s="31">
        <f t="shared" si="10"/>
        <v>5547454.3900000006</v>
      </c>
      <c r="Q35" s="31">
        <f t="shared" si="10"/>
        <v>0</v>
      </c>
      <c r="R35" s="31">
        <f t="shared" si="10"/>
        <v>0</v>
      </c>
      <c r="S35" s="31">
        <f t="shared" si="10"/>
        <v>0</v>
      </c>
      <c r="T35" s="31">
        <f t="shared" si="10"/>
        <v>0</v>
      </c>
      <c r="U35" s="31">
        <f t="shared" si="10"/>
        <v>0</v>
      </c>
      <c r="V35" s="31">
        <f t="shared" si="10"/>
        <v>0</v>
      </c>
      <c r="W35" s="31">
        <f t="shared" si="10"/>
        <v>0</v>
      </c>
      <c r="X35" s="31">
        <f t="shared" si="10"/>
        <v>0</v>
      </c>
      <c r="Y35" s="31">
        <f t="shared" si="10"/>
        <v>0</v>
      </c>
      <c r="Z35" s="31">
        <f t="shared" si="10"/>
        <v>0</v>
      </c>
      <c r="AA35" s="31">
        <f t="shared" si="10"/>
        <v>0</v>
      </c>
      <c r="AB35" s="31">
        <f t="shared" si="10"/>
        <v>0</v>
      </c>
      <c r="AC35" s="31">
        <f t="shared" si="10"/>
        <v>0</v>
      </c>
      <c r="AD35" s="31">
        <f t="shared" si="10"/>
        <v>0</v>
      </c>
      <c r="AE35" s="67">
        <f t="shared" si="10"/>
        <v>83211.819999999992</v>
      </c>
      <c r="AF35" s="67">
        <f t="shared" si="10"/>
        <v>290000</v>
      </c>
      <c r="AG35" s="68">
        <f t="shared" si="10"/>
        <v>0</v>
      </c>
      <c r="AH35" s="35" t="s">
        <v>934</v>
      </c>
      <c r="AI35" s="35" t="s">
        <v>934</v>
      </c>
      <c r="AJ35" s="35" t="s">
        <v>934</v>
      </c>
    </row>
    <row r="36" spans="1:36" s="20" customFormat="1" ht="61.5" x14ac:dyDescent="0.85">
      <c r="A36" s="20">
        <v>1</v>
      </c>
      <c r="B36" s="66">
        <f>SUBTOTAL(103,$A$13:A36)</f>
        <v>17</v>
      </c>
      <c r="C36" s="24" t="s">
        <v>1092</v>
      </c>
      <c r="D36" s="68" t="s">
        <v>1105</v>
      </c>
      <c r="E36" s="69">
        <v>1.0043</v>
      </c>
      <c r="F36" s="31">
        <f t="shared" si="3"/>
        <v>1077466.21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77">
        <v>0</v>
      </c>
      <c r="N36" s="31">
        <v>0</v>
      </c>
      <c r="O36" s="31">
        <v>206.34</v>
      </c>
      <c r="P36" s="31">
        <v>972873.11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67">
        <f>ROUND(P36*1.5%,2)</f>
        <v>14593.1</v>
      </c>
      <c r="AF36" s="67">
        <v>90000</v>
      </c>
      <c r="AG36" s="68">
        <v>0</v>
      </c>
      <c r="AH36" s="35">
        <v>2020</v>
      </c>
      <c r="AI36" s="35">
        <v>2020</v>
      </c>
      <c r="AJ36" s="35">
        <v>2020</v>
      </c>
    </row>
    <row r="37" spans="1:36" s="20" customFormat="1" ht="61.5" x14ac:dyDescent="0.85">
      <c r="A37" s="20">
        <v>1</v>
      </c>
      <c r="B37" s="66">
        <f>SUBTOTAL(103,$A$13:A37)</f>
        <v>18</v>
      </c>
      <c r="C37" s="24" t="s">
        <v>827</v>
      </c>
      <c r="D37" s="68" t="s">
        <v>1105</v>
      </c>
      <c r="E37" s="69">
        <v>1.0185999999999999</v>
      </c>
      <c r="F37" s="31">
        <f t="shared" si="3"/>
        <v>2764800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77">
        <v>0</v>
      </c>
      <c r="N37" s="31">
        <v>0</v>
      </c>
      <c r="O37" s="31">
        <v>576</v>
      </c>
      <c r="P37" s="31">
        <v>2625418.7200000002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67">
        <f>ROUND(P37*1.5%,2)</f>
        <v>39381.279999999999</v>
      </c>
      <c r="AF37" s="67">
        <v>100000</v>
      </c>
      <c r="AG37" s="68">
        <v>0</v>
      </c>
      <c r="AH37" s="35">
        <v>2020</v>
      </c>
      <c r="AI37" s="35">
        <v>2020</v>
      </c>
      <c r="AJ37" s="35">
        <v>2020</v>
      </c>
    </row>
    <row r="38" spans="1:36" s="20" customFormat="1" ht="61.5" x14ac:dyDescent="0.85">
      <c r="A38" s="20">
        <v>1</v>
      </c>
      <c r="B38" s="66">
        <f>SUBTOTAL(103,$A$13:A38)</f>
        <v>19</v>
      </c>
      <c r="C38" s="24" t="s">
        <v>819</v>
      </c>
      <c r="D38" s="68" t="s">
        <v>1105</v>
      </c>
      <c r="E38" s="69">
        <v>1.0064</v>
      </c>
      <c r="F38" s="31">
        <f t="shared" si="3"/>
        <v>2078400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77">
        <v>0</v>
      </c>
      <c r="N38" s="31">
        <v>0</v>
      </c>
      <c r="O38" s="31">
        <v>433</v>
      </c>
      <c r="P38" s="31">
        <v>1949162.56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67">
        <f>ROUND(P38*1.5%,2)</f>
        <v>29237.439999999999</v>
      </c>
      <c r="AF38" s="67">
        <v>100000</v>
      </c>
      <c r="AG38" s="68">
        <v>0</v>
      </c>
      <c r="AH38" s="35">
        <v>2020</v>
      </c>
      <c r="AI38" s="35">
        <v>2020</v>
      </c>
      <c r="AJ38" s="35">
        <v>2020</v>
      </c>
    </row>
    <row r="39" spans="1:36" s="20" customFormat="1" ht="61.5" x14ac:dyDescent="0.85">
      <c r="B39" s="70" t="s">
        <v>881</v>
      </c>
      <c r="C39" s="24"/>
      <c r="D39" s="68" t="s">
        <v>934</v>
      </c>
      <c r="E39" s="69">
        <f>AVERAGE(E40)</f>
        <v>1.0041</v>
      </c>
      <c r="F39" s="31">
        <f>F40</f>
        <v>2154384</v>
      </c>
      <c r="G39" s="31">
        <f t="shared" ref="G39:AG39" si="11">G40</f>
        <v>0</v>
      </c>
      <c r="H39" s="31">
        <f t="shared" si="11"/>
        <v>0</v>
      </c>
      <c r="I39" s="31">
        <f t="shared" si="11"/>
        <v>0</v>
      </c>
      <c r="J39" s="31">
        <f t="shared" si="11"/>
        <v>0</v>
      </c>
      <c r="K39" s="31">
        <f t="shared" si="11"/>
        <v>0</v>
      </c>
      <c r="L39" s="31">
        <f t="shared" si="11"/>
        <v>0</v>
      </c>
      <c r="M39" s="77">
        <f t="shared" si="11"/>
        <v>0</v>
      </c>
      <c r="N39" s="31">
        <f t="shared" si="11"/>
        <v>0</v>
      </c>
      <c r="O39" s="31">
        <f t="shared" si="11"/>
        <v>448.83</v>
      </c>
      <c r="P39" s="31">
        <f t="shared" si="11"/>
        <v>2033875.86</v>
      </c>
      <c r="Q39" s="31">
        <f t="shared" si="11"/>
        <v>0</v>
      </c>
      <c r="R39" s="31">
        <f t="shared" si="11"/>
        <v>0</v>
      </c>
      <c r="S39" s="31">
        <f t="shared" si="11"/>
        <v>0</v>
      </c>
      <c r="T39" s="31">
        <f t="shared" si="11"/>
        <v>0</v>
      </c>
      <c r="U39" s="31">
        <f t="shared" si="11"/>
        <v>0</v>
      </c>
      <c r="V39" s="31">
        <f t="shared" si="11"/>
        <v>0</v>
      </c>
      <c r="W39" s="31">
        <f t="shared" si="11"/>
        <v>0</v>
      </c>
      <c r="X39" s="31">
        <f t="shared" si="11"/>
        <v>0</v>
      </c>
      <c r="Y39" s="31">
        <f t="shared" si="11"/>
        <v>0</v>
      </c>
      <c r="Z39" s="31">
        <f t="shared" si="11"/>
        <v>0</v>
      </c>
      <c r="AA39" s="31">
        <f t="shared" si="11"/>
        <v>0</v>
      </c>
      <c r="AB39" s="31">
        <f t="shared" si="11"/>
        <v>0</v>
      </c>
      <c r="AC39" s="31">
        <f t="shared" si="11"/>
        <v>0</v>
      </c>
      <c r="AD39" s="31">
        <f t="shared" si="11"/>
        <v>0</v>
      </c>
      <c r="AE39" s="67">
        <f t="shared" si="11"/>
        <v>30508.14</v>
      </c>
      <c r="AF39" s="67">
        <f t="shared" si="11"/>
        <v>90000</v>
      </c>
      <c r="AG39" s="68">
        <f t="shared" si="11"/>
        <v>0</v>
      </c>
      <c r="AH39" s="35" t="s">
        <v>934</v>
      </c>
      <c r="AI39" s="35" t="s">
        <v>934</v>
      </c>
      <c r="AJ39" s="35" t="s">
        <v>934</v>
      </c>
    </row>
    <row r="40" spans="1:36" s="20" customFormat="1" ht="61.5" x14ac:dyDescent="0.85">
      <c r="A40" s="20">
        <v>1</v>
      </c>
      <c r="B40" s="66">
        <f>SUBTOTAL(103,$A$13:A40)</f>
        <v>20</v>
      </c>
      <c r="C40" s="24" t="s">
        <v>1093</v>
      </c>
      <c r="D40" s="68" t="s">
        <v>1104</v>
      </c>
      <c r="E40" s="69">
        <v>1.0041</v>
      </c>
      <c r="F40" s="31">
        <f t="shared" si="3"/>
        <v>2154384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77">
        <v>0</v>
      </c>
      <c r="N40" s="31">
        <v>0</v>
      </c>
      <c r="O40" s="31">
        <v>448.83</v>
      </c>
      <c r="P40" s="31">
        <v>2033875.86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67">
        <f>ROUND(P40*1.5%,2)</f>
        <v>30508.14</v>
      </c>
      <c r="AF40" s="67">
        <v>90000</v>
      </c>
      <c r="AG40" s="68">
        <v>0</v>
      </c>
      <c r="AH40" s="35">
        <v>2020</v>
      </c>
      <c r="AI40" s="35">
        <v>2020</v>
      </c>
      <c r="AJ40" s="35">
        <v>2020</v>
      </c>
    </row>
    <row r="41" spans="1:36" s="20" customFormat="1" ht="61.5" x14ac:dyDescent="0.85">
      <c r="B41" s="70" t="s">
        <v>883</v>
      </c>
      <c r="C41" s="24"/>
      <c r="D41" s="68" t="s">
        <v>934</v>
      </c>
      <c r="E41" s="69">
        <f>AVERAGE(E42)</f>
        <v>1</v>
      </c>
      <c r="F41" s="31">
        <f>F42</f>
        <v>5688174.9500000002</v>
      </c>
      <c r="G41" s="31">
        <f t="shared" ref="G41:AG41" si="12">G42</f>
        <v>0</v>
      </c>
      <c r="H41" s="31">
        <f t="shared" si="12"/>
        <v>0</v>
      </c>
      <c r="I41" s="31">
        <f t="shared" si="12"/>
        <v>0</v>
      </c>
      <c r="J41" s="31">
        <f t="shared" si="12"/>
        <v>0</v>
      </c>
      <c r="K41" s="31">
        <f t="shared" si="12"/>
        <v>0</v>
      </c>
      <c r="L41" s="31">
        <f t="shared" si="12"/>
        <v>0</v>
      </c>
      <c r="M41" s="77">
        <f t="shared" si="12"/>
        <v>0</v>
      </c>
      <c r="N41" s="31">
        <f t="shared" si="12"/>
        <v>0</v>
      </c>
      <c r="O41" s="31">
        <f t="shared" si="12"/>
        <v>1110</v>
      </c>
      <c r="P41" s="31">
        <f t="shared" si="12"/>
        <v>5456330</v>
      </c>
      <c r="Q41" s="31">
        <f t="shared" si="12"/>
        <v>0</v>
      </c>
      <c r="R41" s="31">
        <f t="shared" si="12"/>
        <v>0</v>
      </c>
      <c r="S41" s="31">
        <f t="shared" si="12"/>
        <v>0</v>
      </c>
      <c r="T41" s="31">
        <f t="shared" si="12"/>
        <v>0</v>
      </c>
      <c r="U41" s="31">
        <f t="shared" si="12"/>
        <v>0</v>
      </c>
      <c r="V41" s="31">
        <f t="shared" si="12"/>
        <v>0</v>
      </c>
      <c r="W41" s="31">
        <f t="shared" si="12"/>
        <v>0</v>
      </c>
      <c r="X41" s="31">
        <f t="shared" si="12"/>
        <v>0</v>
      </c>
      <c r="Y41" s="31">
        <f t="shared" si="12"/>
        <v>0</v>
      </c>
      <c r="Z41" s="31">
        <f t="shared" si="12"/>
        <v>0</v>
      </c>
      <c r="AA41" s="31">
        <f t="shared" si="12"/>
        <v>0</v>
      </c>
      <c r="AB41" s="31">
        <f t="shared" si="12"/>
        <v>0</v>
      </c>
      <c r="AC41" s="31">
        <f t="shared" si="12"/>
        <v>0</v>
      </c>
      <c r="AD41" s="31">
        <f t="shared" si="12"/>
        <v>0</v>
      </c>
      <c r="AE41" s="67">
        <f t="shared" si="12"/>
        <v>81844.95</v>
      </c>
      <c r="AF41" s="67">
        <f t="shared" si="12"/>
        <v>150000</v>
      </c>
      <c r="AG41" s="68">
        <f t="shared" si="12"/>
        <v>0</v>
      </c>
      <c r="AH41" s="35" t="s">
        <v>934</v>
      </c>
      <c r="AI41" s="35" t="s">
        <v>934</v>
      </c>
      <c r="AJ41" s="35" t="s">
        <v>934</v>
      </c>
    </row>
    <row r="42" spans="1:36" s="20" customFormat="1" ht="61.5" x14ac:dyDescent="0.85">
      <c r="A42" s="20">
        <v>1</v>
      </c>
      <c r="B42" s="66">
        <f>SUBTOTAL(103,$A$13:A42)</f>
        <v>21</v>
      </c>
      <c r="C42" s="24" t="s">
        <v>1094</v>
      </c>
      <c r="D42" s="68" t="s">
        <v>1106</v>
      </c>
      <c r="E42" s="69">
        <v>1</v>
      </c>
      <c r="F42" s="31">
        <f t="shared" si="3"/>
        <v>5688174.9500000002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77">
        <v>0</v>
      </c>
      <c r="N42" s="31">
        <v>0</v>
      </c>
      <c r="O42" s="31">
        <v>1110</v>
      </c>
      <c r="P42" s="31">
        <v>5456330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67">
        <f>ROUND(P42*1.5%,2)</f>
        <v>81844.95</v>
      </c>
      <c r="AF42" s="67">
        <v>150000</v>
      </c>
      <c r="AG42" s="68">
        <v>0</v>
      </c>
      <c r="AH42" s="35">
        <v>2020</v>
      </c>
      <c r="AI42" s="35">
        <v>2020</v>
      </c>
      <c r="AJ42" s="35">
        <v>2020</v>
      </c>
    </row>
    <row r="43" spans="1:36" s="20" customFormat="1" ht="61.5" x14ac:dyDescent="0.85">
      <c r="B43" s="70" t="s">
        <v>1113</v>
      </c>
      <c r="C43" s="24"/>
      <c r="D43" s="68" t="s">
        <v>934</v>
      </c>
      <c r="E43" s="69">
        <f>AVERAGE(E44:E46)</f>
        <v>1.0093333333333334</v>
      </c>
      <c r="F43" s="31">
        <f t="shared" ref="F43:AG43" si="13">SUM(F44:F46)</f>
        <v>6998400</v>
      </c>
      <c r="G43" s="31">
        <f t="shared" si="13"/>
        <v>0</v>
      </c>
      <c r="H43" s="31">
        <f t="shared" si="13"/>
        <v>0</v>
      </c>
      <c r="I43" s="31">
        <f t="shared" si="13"/>
        <v>0</v>
      </c>
      <c r="J43" s="31">
        <f t="shared" si="13"/>
        <v>0</v>
      </c>
      <c r="K43" s="31">
        <f t="shared" si="13"/>
        <v>0</v>
      </c>
      <c r="L43" s="31">
        <f t="shared" si="13"/>
        <v>0</v>
      </c>
      <c r="M43" s="77">
        <f t="shared" si="13"/>
        <v>0</v>
      </c>
      <c r="N43" s="31">
        <f t="shared" si="13"/>
        <v>0</v>
      </c>
      <c r="O43" s="31">
        <f t="shared" si="13"/>
        <v>1458</v>
      </c>
      <c r="P43" s="31">
        <f t="shared" si="13"/>
        <v>6599408.8700000001</v>
      </c>
      <c r="Q43" s="31">
        <f t="shared" si="13"/>
        <v>0</v>
      </c>
      <c r="R43" s="31">
        <f t="shared" si="13"/>
        <v>0</v>
      </c>
      <c r="S43" s="31">
        <f t="shared" si="13"/>
        <v>0</v>
      </c>
      <c r="T43" s="31">
        <f t="shared" si="13"/>
        <v>0</v>
      </c>
      <c r="U43" s="31">
        <f t="shared" si="13"/>
        <v>0</v>
      </c>
      <c r="V43" s="31">
        <f t="shared" si="13"/>
        <v>0</v>
      </c>
      <c r="W43" s="31">
        <f t="shared" si="13"/>
        <v>0</v>
      </c>
      <c r="X43" s="31">
        <f t="shared" si="13"/>
        <v>0</v>
      </c>
      <c r="Y43" s="31">
        <f t="shared" si="13"/>
        <v>0</v>
      </c>
      <c r="Z43" s="31">
        <f t="shared" si="13"/>
        <v>0</v>
      </c>
      <c r="AA43" s="31">
        <f t="shared" si="13"/>
        <v>0</v>
      </c>
      <c r="AB43" s="31">
        <f t="shared" si="13"/>
        <v>0</v>
      </c>
      <c r="AC43" s="31">
        <f t="shared" si="13"/>
        <v>0</v>
      </c>
      <c r="AD43" s="31">
        <f t="shared" si="13"/>
        <v>0</v>
      </c>
      <c r="AE43" s="67">
        <f t="shared" si="13"/>
        <v>98991.13</v>
      </c>
      <c r="AF43" s="67">
        <f t="shared" si="13"/>
        <v>300000</v>
      </c>
      <c r="AG43" s="68">
        <f t="shared" si="13"/>
        <v>0</v>
      </c>
      <c r="AH43" s="35" t="s">
        <v>934</v>
      </c>
      <c r="AI43" s="35" t="s">
        <v>934</v>
      </c>
      <c r="AJ43" s="35" t="s">
        <v>934</v>
      </c>
    </row>
    <row r="44" spans="1:36" s="20" customFormat="1" ht="61.5" x14ac:dyDescent="0.85">
      <c r="A44" s="20">
        <v>1</v>
      </c>
      <c r="B44" s="66">
        <f>SUBTOTAL(103,$A$13:A44)</f>
        <v>22</v>
      </c>
      <c r="C44" s="24" t="s">
        <v>1095</v>
      </c>
      <c r="D44" s="68" t="s">
        <v>1108</v>
      </c>
      <c r="E44" s="69">
        <v>1.0093000000000001</v>
      </c>
      <c r="F44" s="31">
        <f t="shared" si="3"/>
        <v>2400000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77">
        <v>0</v>
      </c>
      <c r="N44" s="31">
        <v>0</v>
      </c>
      <c r="O44" s="31">
        <v>500</v>
      </c>
      <c r="P44" s="31">
        <v>2266009.85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67">
        <f>ROUND(P44*1.5%,2)</f>
        <v>33990.15</v>
      </c>
      <c r="AF44" s="67">
        <v>100000</v>
      </c>
      <c r="AG44" s="68">
        <v>0</v>
      </c>
      <c r="AH44" s="35">
        <v>2020</v>
      </c>
      <c r="AI44" s="35">
        <v>2020</v>
      </c>
      <c r="AJ44" s="35">
        <v>2020</v>
      </c>
    </row>
    <row r="45" spans="1:36" s="20" customFormat="1" ht="61.5" x14ac:dyDescent="0.85">
      <c r="A45" s="20">
        <v>1</v>
      </c>
      <c r="B45" s="66">
        <f>SUBTOTAL(103,$A$13:A45)</f>
        <v>23</v>
      </c>
      <c r="C45" s="24" t="s">
        <v>1096</v>
      </c>
      <c r="D45" s="68" t="s">
        <v>1104</v>
      </c>
      <c r="E45" s="69">
        <v>1.0031000000000001</v>
      </c>
      <c r="F45" s="31">
        <f t="shared" si="3"/>
        <v>2347200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77">
        <v>0</v>
      </c>
      <c r="N45" s="31">
        <v>0</v>
      </c>
      <c r="O45" s="31">
        <v>489</v>
      </c>
      <c r="P45" s="31">
        <v>2213990.15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67">
        <f>ROUND(P45*1.5%,2)</f>
        <v>33209.85</v>
      </c>
      <c r="AF45" s="67">
        <v>100000</v>
      </c>
      <c r="AG45" s="68">
        <v>0</v>
      </c>
      <c r="AH45" s="35">
        <v>2020</v>
      </c>
      <c r="AI45" s="35">
        <v>2020</v>
      </c>
      <c r="AJ45" s="35">
        <v>2020</v>
      </c>
    </row>
    <row r="46" spans="1:36" s="20" customFormat="1" ht="61.5" x14ac:dyDescent="0.85">
      <c r="A46" s="20">
        <v>1</v>
      </c>
      <c r="B46" s="66">
        <f>SUBTOTAL(103,$A$13:A46)</f>
        <v>24</v>
      </c>
      <c r="C46" s="24" t="s">
        <v>1097</v>
      </c>
      <c r="D46" s="68" t="s">
        <v>1107</v>
      </c>
      <c r="E46" s="69">
        <v>1.0156000000000001</v>
      </c>
      <c r="F46" s="31">
        <f t="shared" si="3"/>
        <v>2251200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77">
        <v>0</v>
      </c>
      <c r="N46" s="31">
        <v>0</v>
      </c>
      <c r="O46" s="31">
        <v>469</v>
      </c>
      <c r="P46" s="31">
        <v>2119408.87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67">
        <f>ROUND(P46*1.5%,2)</f>
        <v>31791.13</v>
      </c>
      <c r="AF46" s="67">
        <v>100000</v>
      </c>
      <c r="AG46" s="68">
        <v>0</v>
      </c>
      <c r="AH46" s="35">
        <v>2020</v>
      </c>
      <c r="AI46" s="35">
        <v>2020</v>
      </c>
      <c r="AJ46" s="35">
        <v>2020</v>
      </c>
    </row>
    <row r="47" spans="1:36" s="20" customFormat="1" ht="61.5" x14ac:dyDescent="0.85">
      <c r="B47" s="70" t="s">
        <v>1114</v>
      </c>
      <c r="C47" s="24"/>
      <c r="D47" s="68" t="s">
        <v>934</v>
      </c>
      <c r="E47" s="69">
        <f>AVERAGE(E48)</f>
        <v>1</v>
      </c>
      <c r="F47" s="31">
        <f>F48</f>
        <v>3834600</v>
      </c>
      <c r="G47" s="31">
        <f t="shared" ref="G47:AG47" si="14">G48</f>
        <v>0</v>
      </c>
      <c r="H47" s="31">
        <f t="shared" si="14"/>
        <v>0</v>
      </c>
      <c r="I47" s="31">
        <f t="shared" si="14"/>
        <v>0</v>
      </c>
      <c r="J47" s="31">
        <f t="shared" si="14"/>
        <v>0</v>
      </c>
      <c r="K47" s="31">
        <f t="shared" si="14"/>
        <v>0</v>
      </c>
      <c r="L47" s="31">
        <f t="shared" si="14"/>
        <v>0</v>
      </c>
      <c r="M47" s="77">
        <f t="shared" si="14"/>
        <v>0</v>
      </c>
      <c r="N47" s="31">
        <f t="shared" si="14"/>
        <v>0</v>
      </c>
      <c r="O47" s="31">
        <f t="shared" si="14"/>
        <v>766.92</v>
      </c>
      <c r="P47" s="31">
        <f t="shared" si="14"/>
        <v>3659704.43</v>
      </c>
      <c r="Q47" s="31">
        <f t="shared" si="14"/>
        <v>0</v>
      </c>
      <c r="R47" s="31">
        <f t="shared" si="14"/>
        <v>0</v>
      </c>
      <c r="S47" s="31">
        <f t="shared" si="14"/>
        <v>0</v>
      </c>
      <c r="T47" s="31">
        <f t="shared" si="14"/>
        <v>0</v>
      </c>
      <c r="U47" s="31">
        <f t="shared" si="14"/>
        <v>0</v>
      </c>
      <c r="V47" s="31">
        <f t="shared" si="14"/>
        <v>0</v>
      </c>
      <c r="W47" s="31">
        <f t="shared" si="14"/>
        <v>0</v>
      </c>
      <c r="X47" s="31">
        <f t="shared" si="14"/>
        <v>0</v>
      </c>
      <c r="Y47" s="31">
        <f t="shared" si="14"/>
        <v>0</v>
      </c>
      <c r="Z47" s="31">
        <f t="shared" si="14"/>
        <v>0</v>
      </c>
      <c r="AA47" s="31">
        <f t="shared" si="14"/>
        <v>0</v>
      </c>
      <c r="AB47" s="31">
        <f t="shared" si="14"/>
        <v>0</v>
      </c>
      <c r="AC47" s="31">
        <f t="shared" si="14"/>
        <v>0</v>
      </c>
      <c r="AD47" s="31">
        <f t="shared" si="14"/>
        <v>0</v>
      </c>
      <c r="AE47" s="67">
        <f t="shared" si="14"/>
        <v>54895.57</v>
      </c>
      <c r="AF47" s="67">
        <f t="shared" si="14"/>
        <v>120000</v>
      </c>
      <c r="AG47" s="68">
        <f t="shared" si="14"/>
        <v>0</v>
      </c>
      <c r="AH47" s="35" t="s">
        <v>934</v>
      </c>
      <c r="AI47" s="35" t="s">
        <v>934</v>
      </c>
      <c r="AJ47" s="35" t="s">
        <v>934</v>
      </c>
    </row>
    <row r="48" spans="1:36" s="20" customFormat="1" ht="61.5" x14ac:dyDescent="0.85">
      <c r="A48" s="20">
        <v>1</v>
      </c>
      <c r="B48" s="66">
        <f>SUBTOTAL(103,$A$13:A48)</f>
        <v>25</v>
      </c>
      <c r="C48" s="24" t="s">
        <v>1102</v>
      </c>
      <c r="D48" s="68" t="s">
        <v>1103</v>
      </c>
      <c r="E48" s="69">
        <v>1</v>
      </c>
      <c r="F48" s="31">
        <f t="shared" si="3"/>
        <v>3834600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77">
        <v>0</v>
      </c>
      <c r="N48" s="31">
        <v>0</v>
      </c>
      <c r="O48" s="31">
        <v>766.92</v>
      </c>
      <c r="P48" s="31">
        <v>3659704.43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67">
        <f>ROUND(P48*1.5%,2)</f>
        <v>54895.57</v>
      </c>
      <c r="AF48" s="67">
        <v>120000</v>
      </c>
      <c r="AG48" s="68">
        <v>0</v>
      </c>
      <c r="AH48" s="35">
        <v>2020</v>
      </c>
      <c r="AI48" s="35">
        <v>2020</v>
      </c>
      <c r="AJ48" s="35">
        <v>2020</v>
      </c>
    </row>
    <row r="49" spans="1:36" s="20" customFormat="1" ht="61.5" x14ac:dyDescent="0.85">
      <c r="B49" s="70" t="s">
        <v>894</v>
      </c>
      <c r="C49" s="24"/>
      <c r="D49" s="68" t="s">
        <v>934</v>
      </c>
      <c r="E49" s="69">
        <f>AVERAGE(E50)</f>
        <v>1.008</v>
      </c>
      <c r="F49" s="31">
        <f>F50</f>
        <v>1692000</v>
      </c>
      <c r="G49" s="31">
        <f t="shared" ref="G49:AG49" si="15">G50</f>
        <v>0</v>
      </c>
      <c r="H49" s="31">
        <f t="shared" si="15"/>
        <v>0</v>
      </c>
      <c r="I49" s="31">
        <f t="shared" si="15"/>
        <v>0</v>
      </c>
      <c r="J49" s="31">
        <f t="shared" si="15"/>
        <v>0</v>
      </c>
      <c r="K49" s="31">
        <f t="shared" si="15"/>
        <v>0</v>
      </c>
      <c r="L49" s="31">
        <f t="shared" si="15"/>
        <v>0</v>
      </c>
      <c r="M49" s="77">
        <f t="shared" si="15"/>
        <v>0</v>
      </c>
      <c r="N49" s="31">
        <f t="shared" si="15"/>
        <v>0</v>
      </c>
      <c r="O49" s="31">
        <f t="shared" si="15"/>
        <v>352.5</v>
      </c>
      <c r="P49" s="31">
        <f t="shared" si="15"/>
        <v>1578325.12</v>
      </c>
      <c r="Q49" s="31">
        <f t="shared" si="15"/>
        <v>0</v>
      </c>
      <c r="R49" s="31">
        <f t="shared" si="15"/>
        <v>0</v>
      </c>
      <c r="S49" s="31">
        <f t="shared" si="15"/>
        <v>0</v>
      </c>
      <c r="T49" s="31">
        <f t="shared" si="15"/>
        <v>0</v>
      </c>
      <c r="U49" s="31">
        <f t="shared" si="15"/>
        <v>0</v>
      </c>
      <c r="V49" s="31">
        <f t="shared" si="15"/>
        <v>0</v>
      </c>
      <c r="W49" s="31">
        <f t="shared" si="15"/>
        <v>0</v>
      </c>
      <c r="X49" s="31">
        <f t="shared" si="15"/>
        <v>0</v>
      </c>
      <c r="Y49" s="31">
        <f t="shared" si="15"/>
        <v>0</v>
      </c>
      <c r="Z49" s="31">
        <f t="shared" si="15"/>
        <v>0</v>
      </c>
      <c r="AA49" s="31">
        <f t="shared" si="15"/>
        <v>0</v>
      </c>
      <c r="AB49" s="31">
        <f t="shared" si="15"/>
        <v>0</v>
      </c>
      <c r="AC49" s="31">
        <f t="shared" si="15"/>
        <v>0</v>
      </c>
      <c r="AD49" s="31">
        <f t="shared" si="15"/>
        <v>0</v>
      </c>
      <c r="AE49" s="67">
        <f t="shared" si="15"/>
        <v>23674.880000000001</v>
      </c>
      <c r="AF49" s="67">
        <f t="shared" si="15"/>
        <v>90000</v>
      </c>
      <c r="AG49" s="68">
        <f t="shared" si="15"/>
        <v>0</v>
      </c>
      <c r="AH49" s="35" t="s">
        <v>934</v>
      </c>
      <c r="AI49" s="35" t="s">
        <v>934</v>
      </c>
      <c r="AJ49" s="35" t="s">
        <v>934</v>
      </c>
    </row>
    <row r="50" spans="1:36" s="20" customFormat="1" ht="61.5" x14ac:dyDescent="0.85">
      <c r="A50" s="20">
        <v>1</v>
      </c>
      <c r="B50" s="66">
        <f>SUBTOTAL(103,$A$13:A50)</f>
        <v>26</v>
      </c>
      <c r="C50" s="24" t="s">
        <v>1098</v>
      </c>
      <c r="D50" s="68" t="s">
        <v>1104</v>
      </c>
      <c r="E50" s="69">
        <v>1.008</v>
      </c>
      <c r="F50" s="31">
        <f t="shared" si="3"/>
        <v>1692000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77">
        <v>0</v>
      </c>
      <c r="N50" s="31">
        <v>0</v>
      </c>
      <c r="O50" s="31">
        <v>352.5</v>
      </c>
      <c r="P50" s="31">
        <v>1578325.12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67">
        <f>ROUND(P50*1.5%,2)</f>
        <v>23674.880000000001</v>
      </c>
      <c r="AF50" s="67">
        <v>90000</v>
      </c>
      <c r="AG50" s="68">
        <v>0</v>
      </c>
      <c r="AH50" s="35">
        <v>2020</v>
      </c>
      <c r="AI50" s="35">
        <v>2020</v>
      </c>
      <c r="AJ50" s="35">
        <v>2020</v>
      </c>
    </row>
    <row r="51" spans="1:36" s="20" customFormat="1" ht="61.5" x14ac:dyDescent="0.85">
      <c r="B51" s="70" t="s">
        <v>900</v>
      </c>
      <c r="C51" s="24"/>
      <c r="D51" s="68" t="s">
        <v>934</v>
      </c>
      <c r="E51" s="69">
        <f>AVERAGE(E52)</f>
        <v>1.0001</v>
      </c>
      <c r="F51" s="31">
        <f>F52</f>
        <v>3696000</v>
      </c>
      <c r="G51" s="31">
        <f t="shared" ref="G51:AG51" si="16">G52</f>
        <v>0</v>
      </c>
      <c r="H51" s="31">
        <f t="shared" si="16"/>
        <v>0</v>
      </c>
      <c r="I51" s="31">
        <f t="shared" si="16"/>
        <v>0</v>
      </c>
      <c r="J51" s="31">
        <f t="shared" si="16"/>
        <v>0</v>
      </c>
      <c r="K51" s="31">
        <f t="shared" si="16"/>
        <v>0</v>
      </c>
      <c r="L51" s="31">
        <f t="shared" si="16"/>
        <v>0</v>
      </c>
      <c r="M51" s="77">
        <f t="shared" si="16"/>
        <v>0</v>
      </c>
      <c r="N51" s="31">
        <f t="shared" si="16"/>
        <v>0</v>
      </c>
      <c r="O51" s="31">
        <f t="shared" si="16"/>
        <v>770</v>
      </c>
      <c r="P51" s="31">
        <f t="shared" si="16"/>
        <v>3533004.93</v>
      </c>
      <c r="Q51" s="31">
        <f t="shared" si="16"/>
        <v>0</v>
      </c>
      <c r="R51" s="31">
        <f t="shared" si="16"/>
        <v>0</v>
      </c>
      <c r="S51" s="31">
        <f t="shared" si="16"/>
        <v>0</v>
      </c>
      <c r="T51" s="31">
        <f t="shared" si="16"/>
        <v>0</v>
      </c>
      <c r="U51" s="31">
        <f t="shared" si="16"/>
        <v>0</v>
      </c>
      <c r="V51" s="31">
        <f t="shared" si="16"/>
        <v>0</v>
      </c>
      <c r="W51" s="31">
        <f t="shared" si="16"/>
        <v>0</v>
      </c>
      <c r="X51" s="31">
        <f t="shared" si="16"/>
        <v>0</v>
      </c>
      <c r="Y51" s="31">
        <f t="shared" si="16"/>
        <v>0</v>
      </c>
      <c r="Z51" s="31">
        <f t="shared" si="16"/>
        <v>0</v>
      </c>
      <c r="AA51" s="31">
        <f t="shared" si="16"/>
        <v>0</v>
      </c>
      <c r="AB51" s="31">
        <f t="shared" si="16"/>
        <v>0</v>
      </c>
      <c r="AC51" s="31">
        <f t="shared" si="16"/>
        <v>0</v>
      </c>
      <c r="AD51" s="31">
        <f t="shared" si="16"/>
        <v>0</v>
      </c>
      <c r="AE51" s="67">
        <f t="shared" si="16"/>
        <v>52995.07</v>
      </c>
      <c r="AF51" s="67">
        <f t="shared" si="16"/>
        <v>110000</v>
      </c>
      <c r="AG51" s="68">
        <f t="shared" si="16"/>
        <v>0</v>
      </c>
      <c r="AH51" s="35" t="s">
        <v>934</v>
      </c>
      <c r="AI51" s="35" t="s">
        <v>934</v>
      </c>
      <c r="AJ51" s="35" t="s">
        <v>934</v>
      </c>
    </row>
    <row r="52" spans="1:36" s="20" customFormat="1" ht="61.5" x14ac:dyDescent="0.85">
      <c r="A52" s="20">
        <v>1</v>
      </c>
      <c r="B52" s="66">
        <f>SUBTOTAL(103,$A$13:A52)</f>
        <v>27</v>
      </c>
      <c r="C52" s="24" t="s">
        <v>1101</v>
      </c>
      <c r="D52" s="68" t="s">
        <v>1106</v>
      </c>
      <c r="E52" s="69">
        <v>1.0001</v>
      </c>
      <c r="F52" s="31">
        <f t="shared" si="3"/>
        <v>3696000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77">
        <v>0</v>
      </c>
      <c r="N52" s="31">
        <v>0</v>
      </c>
      <c r="O52" s="31">
        <v>770</v>
      </c>
      <c r="P52" s="31">
        <v>3533004.93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67">
        <f>ROUND(P52*1.5%,2)</f>
        <v>52995.07</v>
      </c>
      <c r="AF52" s="67">
        <v>110000</v>
      </c>
      <c r="AG52" s="68">
        <v>0</v>
      </c>
      <c r="AH52" s="35">
        <v>2020</v>
      </c>
      <c r="AI52" s="35">
        <v>2020</v>
      </c>
      <c r="AJ52" s="35">
        <v>2020</v>
      </c>
    </row>
    <row r="53" spans="1:36" s="20" customFormat="1" ht="61.5" x14ac:dyDescent="0.85">
      <c r="B53" s="70" t="s">
        <v>902</v>
      </c>
      <c r="C53" s="24"/>
      <c r="D53" s="68" t="s">
        <v>934</v>
      </c>
      <c r="E53" s="69">
        <f>AVERAGE(E54:E55)</f>
        <v>1.0058</v>
      </c>
      <c r="F53" s="31">
        <f>F55+F54+F56</f>
        <v>5561408.3912315276</v>
      </c>
      <c r="G53" s="31">
        <f t="shared" ref="G53:AG53" si="17">G55+G54+G56</f>
        <v>0</v>
      </c>
      <c r="H53" s="31">
        <f t="shared" si="17"/>
        <v>0</v>
      </c>
      <c r="I53" s="31">
        <f t="shared" si="17"/>
        <v>0</v>
      </c>
      <c r="J53" s="31">
        <f t="shared" si="17"/>
        <v>0</v>
      </c>
      <c r="K53" s="31">
        <f t="shared" si="17"/>
        <v>0</v>
      </c>
      <c r="L53" s="31">
        <f t="shared" si="17"/>
        <v>0</v>
      </c>
      <c r="M53" s="77">
        <f t="shared" si="17"/>
        <v>0</v>
      </c>
      <c r="N53" s="31">
        <f t="shared" si="17"/>
        <v>0</v>
      </c>
      <c r="O53" s="31">
        <f t="shared" si="17"/>
        <v>928.4</v>
      </c>
      <c r="P53" s="31">
        <f t="shared" si="17"/>
        <v>4032325.12</v>
      </c>
      <c r="Q53" s="31">
        <f t="shared" si="17"/>
        <v>0</v>
      </c>
      <c r="R53" s="31">
        <f t="shared" si="17"/>
        <v>0</v>
      </c>
      <c r="S53" s="31">
        <f t="shared" si="17"/>
        <v>267.3</v>
      </c>
      <c r="T53" s="31">
        <f t="shared" si="17"/>
        <v>1141476.2512315272</v>
      </c>
      <c r="U53" s="31">
        <f t="shared" si="17"/>
        <v>0</v>
      </c>
      <c r="V53" s="31">
        <f t="shared" si="17"/>
        <v>0</v>
      </c>
      <c r="W53" s="31">
        <f t="shared" si="17"/>
        <v>0</v>
      </c>
      <c r="X53" s="31">
        <f t="shared" si="17"/>
        <v>0</v>
      </c>
      <c r="Y53" s="31">
        <f t="shared" si="17"/>
        <v>0</v>
      </c>
      <c r="Z53" s="31">
        <f t="shared" si="17"/>
        <v>0</v>
      </c>
      <c r="AA53" s="31">
        <f t="shared" si="17"/>
        <v>0</v>
      </c>
      <c r="AB53" s="31">
        <f t="shared" si="17"/>
        <v>0</v>
      </c>
      <c r="AC53" s="31">
        <f t="shared" si="17"/>
        <v>0</v>
      </c>
      <c r="AD53" s="31">
        <f t="shared" si="17"/>
        <v>0</v>
      </c>
      <c r="AE53" s="31">
        <f t="shared" si="17"/>
        <v>77607.01999999999</v>
      </c>
      <c r="AF53" s="31">
        <f t="shared" si="17"/>
        <v>310000</v>
      </c>
      <c r="AG53" s="68">
        <f t="shared" si="17"/>
        <v>0</v>
      </c>
      <c r="AH53" s="35" t="s">
        <v>934</v>
      </c>
      <c r="AI53" s="35" t="s">
        <v>934</v>
      </c>
      <c r="AJ53" s="35" t="s">
        <v>934</v>
      </c>
    </row>
    <row r="54" spans="1:36" s="20" customFormat="1" ht="61.5" x14ac:dyDescent="0.85">
      <c r="A54" s="20">
        <v>1</v>
      </c>
      <c r="B54" s="66">
        <f>SUBTOTAL(103,$A$13:A54)</f>
        <v>28</v>
      </c>
      <c r="C54" s="24" t="s">
        <v>1147</v>
      </c>
      <c r="D54" s="68" t="s">
        <v>1103</v>
      </c>
      <c r="E54" s="69">
        <v>1</v>
      </c>
      <c r="F54" s="31">
        <f t="shared" ref="F54" si="18">G54+H54+I54+J54+K54+L54+N54+P54+R54+T54+V54+W54+X54+Y54+Z54+AA54+AB54+AC54+AD54+AE54+AF54+AG54</f>
        <v>2652760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77">
        <v>0</v>
      </c>
      <c r="N54" s="31">
        <v>0</v>
      </c>
      <c r="O54" s="31">
        <v>602.9</v>
      </c>
      <c r="P54" s="31">
        <v>2515034.48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67">
        <f>ROUND(P54*1.5%,2)</f>
        <v>37725.519999999997</v>
      </c>
      <c r="AF54" s="67">
        <v>100000</v>
      </c>
      <c r="AG54" s="68">
        <v>0</v>
      </c>
      <c r="AH54" s="35">
        <v>2020</v>
      </c>
      <c r="AI54" s="35">
        <v>2020</v>
      </c>
      <c r="AJ54" s="35">
        <v>2020</v>
      </c>
    </row>
    <row r="55" spans="1:36" s="20" customFormat="1" ht="61.5" x14ac:dyDescent="0.85">
      <c r="A55" s="20">
        <v>1</v>
      </c>
      <c r="B55" s="66">
        <f>SUBTOTAL(103,$A$13:A55)</f>
        <v>29</v>
      </c>
      <c r="C55" s="24" t="s">
        <v>1099</v>
      </c>
      <c r="D55" s="68" t="s">
        <v>1109</v>
      </c>
      <c r="E55" s="69">
        <v>1.0116000000000001</v>
      </c>
      <c r="F55" s="31">
        <f t="shared" si="3"/>
        <v>1248598.3912315271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77">
        <v>0</v>
      </c>
      <c r="N55" s="31">
        <v>0</v>
      </c>
      <c r="O55" s="31">
        <v>0</v>
      </c>
      <c r="P55" s="31">
        <f>O55*4800</f>
        <v>0</v>
      </c>
      <c r="Q55" s="31">
        <v>0</v>
      </c>
      <c r="R55" s="31">
        <v>0</v>
      </c>
      <c r="S55" s="31">
        <v>267.3</v>
      </c>
      <c r="T55" s="31">
        <v>1141476.2512315272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67">
        <f>ROUND(T55*1.5%,2)</f>
        <v>17122.14</v>
      </c>
      <c r="AF55" s="67">
        <v>90000</v>
      </c>
      <c r="AG55" s="68">
        <v>0</v>
      </c>
      <c r="AH55" s="35">
        <v>2020</v>
      </c>
      <c r="AI55" s="35">
        <v>2020</v>
      </c>
      <c r="AJ55" s="35">
        <v>2020</v>
      </c>
    </row>
    <row r="56" spans="1:36" s="20" customFormat="1" ht="61.5" x14ac:dyDescent="0.85">
      <c r="A56" s="20">
        <v>1</v>
      </c>
      <c r="B56" s="66">
        <f>SUBTOTAL(103,$A$13:A56)</f>
        <v>30</v>
      </c>
      <c r="C56" s="24" t="s">
        <v>196</v>
      </c>
      <c r="D56" s="68" t="s">
        <v>1105</v>
      </c>
      <c r="E56" s="69">
        <v>1</v>
      </c>
      <c r="F56" s="31">
        <f t="shared" si="3"/>
        <v>1660050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77">
        <v>0</v>
      </c>
      <c r="N56" s="31">
        <v>0</v>
      </c>
      <c r="O56" s="31">
        <v>325.5</v>
      </c>
      <c r="P56" s="31">
        <v>1517290.64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67">
        <f>ROUND(P56*1.5%,2)</f>
        <v>22759.360000000001</v>
      </c>
      <c r="AF56" s="67">
        <v>120000</v>
      </c>
      <c r="AG56" s="68">
        <v>0</v>
      </c>
      <c r="AH56" s="35"/>
      <c r="AI56" s="35">
        <v>2020</v>
      </c>
      <c r="AJ56" s="35">
        <v>2020</v>
      </c>
    </row>
    <row r="57" spans="1:36" s="20" customFormat="1" ht="61.5" x14ac:dyDescent="0.85">
      <c r="B57" s="70" t="s">
        <v>901</v>
      </c>
      <c r="C57" s="24"/>
      <c r="D57" s="68" t="s">
        <v>934</v>
      </c>
      <c r="E57" s="69">
        <f>AVERAGE(E58)</f>
        <v>1</v>
      </c>
      <c r="F57" s="31">
        <f>F58</f>
        <v>2736000</v>
      </c>
      <c r="G57" s="31">
        <f t="shared" ref="G57:AG57" si="19">G58</f>
        <v>0</v>
      </c>
      <c r="H57" s="31">
        <f t="shared" si="19"/>
        <v>0</v>
      </c>
      <c r="I57" s="31">
        <f t="shared" si="19"/>
        <v>0</v>
      </c>
      <c r="J57" s="31">
        <f t="shared" si="19"/>
        <v>0</v>
      </c>
      <c r="K57" s="31">
        <f t="shared" si="19"/>
        <v>0</v>
      </c>
      <c r="L57" s="31">
        <f t="shared" si="19"/>
        <v>0</v>
      </c>
      <c r="M57" s="77">
        <f t="shared" si="19"/>
        <v>0</v>
      </c>
      <c r="N57" s="31">
        <f t="shared" si="19"/>
        <v>0</v>
      </c>
      <c r="O57" s="31">
        <f t="shared" si="19"/>
        <v>570</v>
      </c>
      <c r="P57" s="31">
        <f t="shared" si="19"/>
        <v>2606896.5499999998</v>
      </c>
      <c r="Q57" s="31">
        <f t="shared" si="19"/>
        <v>0</v>
      </c>
      <c r="R57" s="31">
        <f t="shared" si="19"/>
        <v>0</v>
      </c>
      <c r="S57" s="31">
        <f t="shared" si="19"/>
        <v>0</v>
      </c>
      <c r="T57" s="31">
        <f t="shared" si="19"/>
        <v>0</v>
      </c>
      <c r="U57" s="31">
        <f t="shared" si="19"/>
        <v>0</v>
      </c>
      <c r="V57" s="31">
        <f t="shared" si="19"/>
        <v>0</v>
      </c>
      <c r="W57" s="31">
        <f t="shared" si="19"/>
        <v>0</v>
      </c>
      <c r="X57" s="31">
        <f t="shared" si="19"/>
        <v>0</v>
      </c>
      <c r="Y57" s="31">
        <f t="shared" si="19"/>
        <v>0</v>
      </c>
      <c r="Z57" s="31">
        <f t="shared" si="19"/>
        <v>0</v>
      </c>
      <c r="AA57" s="31">
        <f t="shared" si="19"/>
        <v>0</v>
      </c>
      <c r="AB57" s="31">
        <f t="shared" si="19"/>
        <v>0</v>
      </c>
      <c r="AC57" s="31">
        <f t="shared" si="19"/>
        <v>0</v>
      </c>
      <c r="AD57" s="31">
        <f t="shared" si="19"/>
        <v>0</v>
      </c>
      <c r="AE57" s="67">
        <f t="shared" si="19"/>
        <v>39103.449999999997</v>
      </c>
      <c r="AF57" s="67">
        <f t="shared" si="19"/>
        <v>90000</v>
      </c>
      <c r="AG57" s="68">
        <f t="shared" si="19"/>
        <v>0</v>
      </c>
      <c r="AH57" s="35" t="s">
        <v>934</v>
      </c>
      <c r="AI57" s="35" t="s">
        <v>934</v>
      </c>
      <c r="AJ57" s="35" t="s">
        <v>934</v>
      </c>
    </row>
    <row r="58" spans="1:36" s="20" customFormat="1" ht="61.5" x14ac:dyDescent="0.85">
      <c r="A58" s="20">
        <v>1</v>
      </c>
      <c r="B58" s="66">
        <f>SUBTOTAL(103,$A$13:A58)</f>
        <v>31</v>
      </c>
      <c r="C58" s="24" t="s">
        <v>1136</v>
      </c>
      <c r="D58" s="68" t="s">
        <v>1108</v>
      </c>
      <c r="E58" s="69">
        <v>1</v>
      </c>
      <c r="F58" s="31">
        <f t="shared" si="3"/>
        <v>2736000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77">
        <v>0</v>
      </c>
      <c r="N58" s="31">
        <v>0</v>
      </c>
      <c r="O58" s="31">
        <v>570</v>
      </c>
      <c r="P58" s="31">
        <v>2606896.5499999998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67">
        <f>ROUND(P58*1.5%,2)</f>
        <v>39103.449999999997</v>
      </c>
      <c r="AF58" s="67">
        <v>90000</v>
      </c>
      <c r="AG58" s="68">
        <v>0</v>
      </c>
      <c r="AH58" s="35">
        <v>2020</v>
      </c>
      <c r="AI58" s="35">
        <v>2020</v>
      </c>
      <c r="AJ58" s="35">
        <v>2020</v>
      </c>
    </row>
    <row r="59" spans="1:36" s="20" customFormat="1" ht="61.5" x14ac:dyDescent="0.85">
      <c r="B59" s="70" t="s">
        <v>877</v>
      </c>
      <c r="C59" s="24"/>
      <c r="D59" s="68" t="s">
        <v>934</v>
      </c>
      <c r="E59" s="69">
        <f>E60</f>
        <v>1.009761876417796</v>
      </c>
      <c r="F59" s="31">
        <f>F60</f>
        <v>2144509.73</v>
      </c>
      <c r="G59" s="31">
        <f t="shared" ref="G59:AG59" si="20">G60</f>
        <v>226421.29</v>
      </c>
      <c r="H59" s="31">
        <f t="shared" si="20"/>
        <v>574926.32999999996</v>
      </c>
      <c r="I59" s="31">
        <f t="shared" si="20"/>
        <v>1042147.18</v>
      </c>
      <c r="J59" s="31">
        <f t="shared" si="20"/>
        <v>269322.67</v>
      </c>
      <c r="K59" s="31">
        <f t="shared" si="20"/>
        <v>0</v>
      </c>
      <c r="L59" s="31">
        <f t="shared" si="20"/>
        <v>0</v>
      </c>
      <c r="M59" s="77">
        <f t="shared" si="20"/>
        <v>0</v>
      </c>
      <c r="N59" s="31">
        <f t="shared" si="20"/>
        <v>0</v>
      </c>
      <c r="O59" s="31">
        <f t="shared" si="20"/>
        <v>0</v>
      </c>
      <c r="P59" s="31">
        <f t="shared" si="20"/>
        <v>0</v>
      </c>
      <c r="Q59" s="31">
        <f t="shared" si="20"/>
        <v>0</v>
      </c>
      <c r="R59" s="31">
        <f t="shared" si="20"/>
        <v>0</v>
      </c>
      <c r="S59" s="31">
        <f t="shared" si="20"/>
        <v>0</v>
      </c>
      <c r="T59" s="31">
        <f t="shared" si="20"/>
        <v>0</v>
      </c>
      <c r="U59" s="31">
        <f t="shared" si="20"/>
        <v>0</v>
      </c>
      <c r="V59" s="31">
        <f t="shared" si="20"/>
        <v>0</v>
      </c>
      <c r="W59" s="31">
        <f t="shared" si="20"/>
        <v>0</v>
      </c>
      <c r="X59" s="31">
        <f t="shared" si="20"/>
        <v>0</v>
      </c>
      <c r="Y59" s="31">
        <f t="shared" si="20"/>
        <v>0</v>
      </c>
      <c r="Z59" s="31">
        <f t="shared" si="20"/>
        <v>0</v>
      </c>
      <c r="AA59" s="31">
        <f t="shared" si="20"/>
        <v>0</v>
      </c>
      <c r="AB59" s="31">
        <f t="shared" si="20"/>
        <v>0</v>
      </c>
      <c r="AC59" s="31">
        <f t="shared" si="20"/>
        <v>0</v>
      </c>
      <c r="AD59" s="31">
        <f t="shared" si="20"/>
        <v>0</v>
      </c>
      <c r="AE59" s="31">
        <f t="shared" si="20"/>
        <v>31692.26</v>
      </c>
      <c r="AF59" s="31">
        <f t="shared" si="20"/>
        <v>0</v>
      </c>
      <c r="AG59" s="68">
        <f t="shared" si="20"/>
        <v>0</v>
      </c>
      <c r="AH59" s="35" t="s">
        <v>934</v>
      </c>
      <c r="AI59" s="35" t="s">
        <v>934</v>
      </c>
      <c r="AJ59" s="35" t="s">
        <v>934</v>
      </c>
    </row>
    <row r="60" spans="1:36" s="20" customFormat="1" ht="61.5" x14ac:dyDescent="0.85">
      <c r="A60" s="20">
        <v>1</v>
      </c>
      <c r="B60" s="66">
        <f>SUBTOTAL(103,$A$13:A60)</f>
        <v>32</v>
      </c>
      <c r="C60" s="24" t="s">
        <v>1481</v>
      </c>
      <c r="D60" s="68" t="s">
        <v>1108</v>
      </c>
      <c r="E60" s="69">
        <v>1.009761876417796</v>
      </c>
      <c r="F60" s="31">
        <f t="shared" si="3"/>
        <v>2144509.73</v>
      </c>
      <c r="G60" s="31">
        <v>226421.29</v>
      </c>
      <c r="H60" s="31">
        <v>574926.32999999996</v>
      </c>
      <c r="I60" s="31">
        <v>1042147.18</v>
      </c>
      <c r="J60" s="31">
        <v>269322.67</v>
      </c>
      <c r="K60" s="31">
        <v>0</v>
      </c>
      <c r="L60" s="31">
        <v>0</v>
      </c>
      <c r="M60" s="77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f>ROUND((G60+H60+I60+J60+K60)*1.5%,2)</f>
        <v>31692.26</v>
      </c>
      <c r="AF60" s="67">
        <v>0</v>
      </c>
      <c r="AG60" s="68">
        <v>0</v>
      </c>
      <c r="AH60" s="35" t="s">
        <v>274</v>
      </c>
      <c r="AI60" s="35">
        <v>2020</v>
      </c>
      <c r="AJ60" s="35">
        <v>2020</v>
      </c>
    </row>
    <row r="61" spans="1:36" s="20" customFormat="1" ht="61.5" x14ac:dyDescent="0.85">
      <c r="B61" s="70" t="s">
        <v>913</v>
      </c>
      <c r="C61" s="24"/>
      <c r="D61" s="68" t="s">
        <v>934</v>
      </c>
      <c r="E61" s="69">
        <f>E62</f>
        <v>1.0869557735329547</v>
      </c>
      <c r="F61" s="31">
        <f>F62</f>
        <v>1590688.46</v>
      </c>
      <c r="G61" s="31">
        <f t="shared" ref="G61:AG61" si="21">G62</f>
        <v>301430.32</v>
      </c>
      <c r="H61" s="31">
        <f t="shared" si="21"/>
        <v>0</v>
      </c>
      <c r="I61" s="31">
        <f t="shared" si="21"/>
        <v>0</v>
      </c>
      <c r="J61" s="31">
        <f t="shared" si="21"/>
        <v>440205.38</v>
      </c>
      <c r="K61" s="31">
        <f t="shared" si="21"/>
        <v>825545.05</v>
      </c>
      <c r="L61" s="31">
        <f t="shared" si="21"/>
        <v>0</v>
      </c>
      <c r="M61" s="77">
        <f t="shared" si="21"/>
        <v>0</v>
      </c>
      <c r="N61" s="31">
        <f t="shared" si="21"/>
        <v>0</v>
      </c>
      <c r="O61" s="31">
        <f t="shared" si="21"/>
        <v>0</v>
      </c>
      <c r="P61" s="31">
        <f t="shared" si="21"/>
        <v>0</v>
      </c>
      <c r="Q61" s="31">
        <f t="shared" si="21"/>
        <v>0</v>
      </c>
      <c r="R61" s="31">
        <f t="shared" si="21"/>
        <v>0</v>
      </c>
      <c r="S61" s="31">
        <f t="shared" si="21"/>
        <v>0</v>
      </c>
      <c r="T61" s="31">
        <f t="shared" si="21"/>
        <v>0</v>
      </c>
      <c r="U61" s="31">
        <f t="shared" si="21"/>
        <v>0</v>
      </c>
      <c r="V61" s="31">
        <f t="shared" si="21"/>
        <v>0</v>
      </c>
      <c r="W61" s="31">
        <f t="shared" si="21"/>
        <v>0</v>
      </c>
      <c r="X61" s="31">
        <f t="shared" si="21"/>
        <v>0</v>
      </c>
      <c r="Y61" s="31">
        <f t="shared" si="21"/>
        <v>0</v>
      </c>
      <c r="Z61" s="31">
        <f t="shared" si="21"/>
        <v>0</v>
      </c>
      <c r="AA61" s="31">
        <f t="shared" si="21"/>
        <v>0</v>
      </c>
      <c r="AB61" s="31">
        <f t="shared" si="21"/>
        <v>0</v>
      </c>
      <c r="AC61" s="31">
        <f t="shared" si="21"/>
        <v>0</v>
      </c>
      <c r="AD61" s="31">
        <f t="shared" si="21"/>
        <v>0</v>
      </c>
      <c r="AE61" s="31">
        <f t="shared" si="21"/>
        <v>23507.71</v>
      </c>
      <c r="AF61" s="31">
        <f t="shared" si="21"/>
        <v>0</v>
      </c>
      <c r="AG61" s="68">
        <f t="shared" si="21"/>
        <v>0</v>
      </c>
      <c r="AH61" s="35" t="s">
        <v>934</v>
      </c>
      <c r="AI61" s="35" t="s">
        <v>934</v>
      </c>
      <c r="AJ61" s="35" t="s">
        <v>934</v>
      </c>
    </row>
    <row r="62" spans="1:36" s="20" customFormat="1" ht="61.5" x14ac:dyDescent="0.85">
      <c r="A62" s="20">
        <v>1</v>
      </c>
      <c r="B62" s="66">
        <f>SUBTOTAL(103,$A$13:A62)</f>
        <v>33</v>
      </c>
      <c r="C62" s="24" t="s">
        <v>1482</v>
      </c>
      <c r="D62" s="68" t="s">
        <v>1108</v>
      </c>
      <c r="E62" s="69">
        <v>1.0869557735329547</v>
      </c>
      <c r="F62" s="31">
        <f t="shared" si="3"/>
        <v>1590688.46</v>
      </c>
      <c r="G62" s="31">
        <v>301430.32</v>
      </c>
      <c r="H62" s="31">
        <v>0</v>
      </c>
      <c r="I62" s="31">
        <v>0</v>
      </c>
      <c r="J62" s="31">
        <v>440205.38</v>
      </c>
      <c r="K62" s="31">
        <v>825545.05</v>
      </c>
      <c r="L62" s="31">
        <v>0</v>
      </c>
      <c r="M62" s="77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f>ROUND((G62+H62+I62+J62+K62)*1.5%,2)</f>
        <v>23507.71</v>
      </c>
      <c r="AF62" s="31">
        <v>0</v>
      </c>
      <c r="AG62" s="68">
        <v>0</v>
      </c>
      <c r="AH62" s="35" t="s">
        <v>274</v>
      </c>
      <c r="AI62" s="35">
        <v>2020</v>
      </c>
      <c r="AJ62" s="35">
        <v>2020</v>
      </c>
    </row>
    <row r="63" spans="1:36" ht="61.5" x14ac:dyDescent="0.25">
      <c r="B63" s="228" t="s">
        <v>1483</v>
      </c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</row>
    <row r="64" spans="1:36" ht="61.5" x14ac:dyDescent="0.85">
      <c r="B64" s="235" t="s">
        <v>1115</v>
      </c>
      <c r="C64" s="236"/>
      <c r="D64" s="141" t="s">
        <v>934</v>
      </c>
      <c r="E64" s="69">
        <v>0.87170000000000003</v>
      </c>
      <c r="F64" s="31">
        <f>F65+F72+F75+F92+F99+F104+F131+F145+F151+F154+F156+F158+F163+F165+F167+F170+F173+F175+F177+F181+F183+F185+F187+F189+F191+F193+F196</f>
        <v>44015453.809999995</v>
      </c>
      <c r="G64" s="31">
        <f t="shared" ref="G64:AG64" si="22">G65+G72+G75+G92+G99+G104+G131+G145+G151+G154+G156+G158+G163+G165+G167+G170+G173+G175+G177+G181+G183+G185+G187+G189+G191+G193+G196</f>
        <v>7510</v>
      </c>
      <c r="H64" s="31">
        <f t="shared" si="22"/>
        <v>0</v>
      </c>
      <c r="I64" s="31">
        <f t="shared" si="22"/>
        <v>713161.29</v>
      </c>
      <c r="J64" s="31">
        <f t="shared" si="22"/>
        <v>0</v>
      </c>
      <c r="K64" s="31">
        <f t="shared" si="22"/>
        <v>265366.61</v>
      </c>
      <c r="L64" s="31">
        <f t="shared" si="22"/>
        <v>0</v>
      </c>
      <c r="M64" s="33">
        <f t="shared" si="22"/>
        <v>0</v>
      </c>
      <c r="N64" s="31">
        <f t="shared" si="22"/>
        <v>0</v>
      </c>
      <c r="O64" s="31">
        <f t="shared" si="22"/>
        <v>78124.560000000012</v>
      </c>
      <c r="P64" s="31">
        <f t="shared" si="22"/>
        <v>40048166.410000004</v>
      </c>
      <c r="Q64" s="31">
        <f t="shared" si="22"/>
        <v>0</v>
      </c>
      <c r="R64" s="31">
        <f t="shared" si="22"/>
        <v>0</v>
      </c>
      <c r="S64" s="31">
        <f t="shared" si="22"/>
        <v>7004.24</v>
      </c>
      <c r="T64" s="31">
        <f t="shared" si="22"/>
        <v>1828014.8</v>
      </c>
      <c r="U64" s="31">
        <f t="shared" si="22"/>
        <v>143.80000000000001</v>
      </c>
      <c r="V64" s="31">
        <f t="shared" si="22"/>
        <v>128182</v>
      </c>
      <c r="W64" s="31">
        <f t="shared" si="22"/>
        <v>0</v>
      </c>
      <c r="X64" s="31">
        <f t="shared" si="22"/>
        <v>374577.91</v>
      </c>
      <c r="Y64" s="31">
        <f t="shared" si="22"/>
        <v>0</v>
      </c>
      <c r="Z64" s="31">
        <f t="shared" si="22"/>
        <v>0</v>
      </c>
      <c r="AA64" s="31">
        <f t="shared" si="22"/>
        <v>0</v>
      </c>
      <c r="AB64" s="31">
        <f t="shared" si="22"/>
        <v>0</v>
      </c>
      <c r="AC64" s="31">
        <f t="shared" si="22"/>
        <v>0</v>
      </c>
      <c r="AD64" s="31">
        <f t="shared" si="22"/>
        <v>0</v>
      </c>
      <c r="AE64" s="31">
        <f t="shared" si="22"/>
        <v>650474.79</v>
      </c>
      <c r="AF64" s="31">
        <f t="shared" si="22"/>
        <v>0</v>
      </c>
      <c r="AG64" s="31">
        <f t="shared" si="22"/>
        <v>0</v>
      </c>
      <c r="AH64" s="142" t="s">
        <v>934</v>
      </c>
      <c r="AI64" s="142" t="s">
        <v>934</v>
      </c>
      <c r="AJ64" s="142" t="s">
        <v>934</v>
      </c>
    </row>
    <row r="65" spans="1:37" ht="62.25" x14ac:dyDescent="0.9">
      <c r="B65" s="143" t="s">
        <v>858</v>
      </c>
      <c r="C65" s="144"/>
      <c r="D65" s="145" t="s">
        <v>934</v>
      </c>
      <c r="E65" s="69">
        <f>AVERAGE(E66:E71)</f>
        <v>0.82381693240432963</v>
      </c>
      <c r="F65" s="31">
        <f>SUM(F66:F71)</f>
        <v>4055618.86</v>
      </c>
      <c r="G65" s="31">
        <f t="shared" ref="G65:AG65" si="23">SUM(G66:G71)</f>
        <v>0</v>
      </c>
      <c r="H65" s="31">
        <f t="shared" si="23"/>
        <v>0</v>
      </c>
      <c r="I65" s="31">
        <f t="shared" si="23"/>
        <v>0</v>
      </c>
      <c r="J65" s="31">
        <f t="shared" si="23"/>
        <v>0</v>
      </c>
      <c r="K65" s="31">
        <f t="shared" si="23"/>
        <v>0</v>
      </c>
      <c r="L65" s="31">
        <f t="shared" si="23"/>
        <v>0</v>
      </c>
      <c r="M65" s="33">
        <f t="shared" si="23"/>
        <v>0</v>
      </c>
      <c r="N65" s="31">
        <f t="shared" si="23"/>
        <v>0</v>
      </c>
      <c r="O65" s="31">
        <f t="shared" si="23"/>
        <v>4824.3</v>
      </c>
      <c r="P65" s="31">
        <f t="shared" si="23"/>
        <v>3706112.6900000004</v>
      </c>
      <c r="Q65" s="31">
        <f t="shared" si="23"/>
        <v>0</v>
      </c>
      <c r="R65" s="31">
        <f t="shared" si="23"/>
        <v>0</v>
      </c>
      <c r="S65" s="31">
        <f t="shared" si="23"/>
        <v>0</v>
      </c>
      <c r="T65" s="31">
        <f t="shared" si="23"/>
        <v>0</v>
      </c>
      <c r="U65" s="31">
        <f t="shared" si="23"/>
        <v>0</v>
      </c>
      <c r="V65" s="31">
        <f t="shared" si="23"/>
        <v>0</v>
      </c>
      <c r="W65" s="31">
        <f t="shared" si="23"/>
        <v>0</v>
      </c>
      <c r="X65" s="31">
        <f t="shared" si="23"/>
        <v>289570.90999999997</v>
      </c>
      <c r="Y65" s="31">
        <f t="shared" si="23"/>
        <v>0</v>
      </c>
      <c r="Z65" s="31">
        <f t="shared" si="23"/>
        <v>0</v>
      </c>
      <c r="AA65" s="31">
        <f t="shared" si="23"/>
        <v>0</v>
      </c>
      <c r="AB65" s="31">
        <f t="shared" si="23"/>
        <v>0</v>
      </c>
      <c r="AC65" s="31">
        <f t="shared" si="23"/>
        <v>0</v>
      </c>
      <c r="AD65" s="31">
        <f t="shared" si="23"/>
        <v>0</v>
      </c>
      <c r="AE65" s="31">
        <f t="shared" si="23"/>
        <v>59935.259999999995</v>
      </c>
      <c r="AF65" s="31">
        <f t="shared" si="23"/>
        <v>0</v>
      </c>
      <c r="AG65" s="31">
        <f t="shared" si="23"/>
        <v>0</v>
      </c>
      <c r="AH65" s="142" t="s">
        <v>934</v>
      </c>
      <c r="AI65" s="142" t="s">
        <v>934</v>
      </c>
      <c r="AJ65" s="142" t="s">
        <v>934</v>
      </c>
    </row>
    <row r="66" spans="1:37" ht="61.5" x14ac:dyDescent="0.85">
      <c r="A66" s="6">
        <v>1</v>
      </c>
      <c r="B66" s="66">
        <f>SUBTOTAL(103,$A$66:A66)</f>
        <v>1</v>
      </c>
      <c r="C66" s="146" t="s">
        <v>658</v>
      </c>
      <c r="D66" s="72" t="s">
        <v>1105</v>
      </c>
      <c r="E66" s="69">
        <v>0.68103653271030484</v>
      </c>
      <c r="F66" s="31">
        <f t="shared" ref="F66:F152" si="24">G66+H66+I66+J66+K66+L66+N66+P66+R66+T66+V66+W66+X66+Y66+Z66+AA66+AB66+AC66+AD66+AE66+AF66+AG66</f>
        <v>806603.3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3">
        <v>0</v>
      </c>
      <c r="N66" s="31">
        <v>0</v>
      </c>
      <c r="O66" s="31">
        <v>851.8</v>
      </c>
      <c r="P66" s="31">
        <v>794683.05</v>
      </c>
      <c r="Q66" s="31">
        <v>0</v>
      </c>
      <c r="R66" s="31">
        <v>0</v>
      </c>
      <c r="S66" s="31">
        <v>0</v>
      </c>
      <c r="T66" s="147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f>ROUND(P66*1.5%,2)</f>
        <v>11920.25</v>
      </c>
      <c r="AF66" s="31">
        <v>0</v>
      </c>
      <c r="AG66" s="31">
        <v>0</v>
      </c>
      <c r="AH66" s="142" t="s">
        <v>274</v>
      </c>
      <c r="AI66" s="142">
        <v>2020</v>
      </c>
      <c r="AJ66" s="142">
        <v>2020</v>
      </c>
    </row>
    <row r="67" spans="1:37" ht="61.5" x14ac:dyDescent="0.85">
      <c r="A67" s="6">
        <v>1</v>
      </c>
      <c r="B67" s="66">
        <f>SUBTOTAL(103,$A$66:A67)</f>
        <v>2</v>
      </c>
      <c r="C67" s="146" t="s">
        <v>1499</v>
      </c>
      <c r="D67" s="91" t="s">
        <v>1484</v>
      </c>
      <c r="E67" s="69">
        <v>0.76770000000000005</v>
      </c>
      <c r="F67" s="31">
        <f t="shared" si="24"/>
        <v>746025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3">
        <v>0</v>
      </c>
      <c r="N67" s="31">
        <v>0</v>
      </c>
      <c r="O67" s="31">
        <v>901.5</v>
      </c>
      <c r="P67" s="31">
        <v>735000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f>ROUND(P67*1.5%,2)</f>
        <v>11025</v>
      </c>
      <c r="AF67" s="31">
        <v>0</v>
      </c>
      <c r="AG67" s="31">
        <v>0</v>
      </c>
      <c r="AH67" s="142" t="s">
        <v>274</v>
      </c>
      <c r="AI67" s="142">
        <v>2020</v>
      </c>
      <c r="AJ67" s="142">
        <v>2020</v>
      </c>
      <c r="AK67" s="148"/>
    </row>
    <row r="68" spans="1:37" ht="61.5" x14ac:dyDescent="0.85">
      <c r="A68" s="6">
        <v>1</v>
      </c>
      <c r="B68" s="66">
        <f>SUBTOTAL(103,$A$66:A68)</f>
        <v>3</v>
      </c>
      <c r="C68" s="146" t="s">
        <v>1500</v>
      </c>
      <c r="D68" s="91" t="s">
        <v>1103</v>
      </c>
      <c r="E68" s="69">
        <v>0.87790000000000001</v>
      </c>
      <c r="F68" s="31">
        <f t="shared" si="24"/>
        <v>1849341.27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3">
        <v>0</v>
      </c>
      <c r="N68" s="31">
        <v>0</v>
      </c>
      <c r="O68" s="31">
        <v>811</v>
      </c>
      <c r="P68" s="31">
        <v>1822011.1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f>ROUND(P68*1.5%,2)</f>
        <v>27330.17</v>
      </c>
      <c r="AF68" s="31">
        <v>0</v>
      </c>
      <c r="AG68" s="31">
        <v>0</v>
      </c>
      <c r="AH68" s="142" t="s">
        <v>274</v>
      </c>
      <c r="AI68" s="142">
        <v>2020</v>
      </c>
      <c r="AJ68" s="142">
        <v>2020</v>
      </c>
      <c r="AK68" s="148"/>
    </row>
    <row r="69" spans="1:37" ht="61.5" x14ac:dyDescent="0.85">
      <c r="A69" s="6">
        <v>1</v>
      </c>
      <c r="B69" s="66">
        <f>SUBTOTAL(103,$A$66:A69)</f>
        <v>4</v>
      </c>
      <c r="C69" s="146" t="s">
        <v>1501</v>
      </c>
      <c r="D69" s="91" t="s">
        <v>1104</v>
      </c>
      <c r="E69" s="69">
        <v>0.74686506171567224</v>
      </c>
      <c r="F69" s="31">
        <f t="shared" si="24"/>
        <v>293914.46999999997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3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147">
        <v>0</v>
      </c>
      <c r="U69" s="31">
        <v>0</v>
      </c>
      <c r="V69" s="31">
        <v>0</v>
      </c>
      <c r="W69" s="31">
        <v>0</v>
      </c>
      <c r="X69" s="31">
        <v>289570.90999999997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f>ROUND(X69*1.5%,2)</f>
        <v>4343.5600000000004</v>
      </c>
      <c r="AF69" s="31">
        <v>0</v>
      </c>
      <c r="AG69" s="31">
        <v>0</v>
      </c>
      <c r="AH69" s="142" t="s">
        <v>274</v>
      </c>
      <c r="AI69" s="142">
        <v>2020</v>
      </c>
      <c r="AJ69" s="142">
        <v>2020</v>
      </c>
      <c r="AK69" s="148"/>
    </row>
    <row r="70" spans="1:37" ht="61.5" x14ac:dyDescent="0.85">
      <c r="A70" s="6">
        <v>1</v>
      </c>
      <c r="B70" s="66">
        <f>SUBTOTAL(103,$A$66:A70)</f>
        <v>5</v>
      </c>
      <c r="C70" s="146" t="s">
        <v>1502</v>
      </c>
      <c r="D70" s="91" t="s">
        <v>1485</v>
      </c>
      <c r="E70" s="69">
        <v>0.94499999999999995</v>
      </c>
      <c r="F70" s="31">
        <f t="shared" si="24"/>
        <v>247660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3">
        <v>0</v>
      </c>
      <c r="N70" s="31">
        <v>0</v>
      </c>
      <c r="O70" s="31">
        <v>1160</v>
      </c>
      <c r="P70" s="31">
        <v>244000</v>
      </c>
      <c r="Q70" s="31">
        <v>0</v>
      </c>
      <c r="R70" s="31">
        <v>0</v>
      </c>
      <c r="S70" s="31">
        <v>0</v>
      </c>
      <c r="T70" s="147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f>ROUND(P70*1.5%,2)</f>
        <v>3660</v>
      </c>
      <c r="AF70" s="31">
        <v>0</v>
      </c>
      <c r="AG70" s="31">
        <v>0</v>
      </c>
      <c r="AH70" s="142" t="s">
        <v>274</v>
      </c>
      <c r="AI70" s="142">
        <v>2020</v>
      </c>
      <c r="AJ70" s="142">
        <v>2020</v>
      </c>
    </row>
    <row r="71" spans="1:37" ht="61.5" x14ac:dyDescent="0.85">
      <c r="A71" s="6">
        <v>1</v>
      </c>
      <c r="B71" s="66">
        <f>SUBTOTAL(103,$A$66:A71)</f>
        <v>6</v>
      </c>
      <c r="C71" s="146" t="s">
        <v>1503</v>
      </c>
      <c r="D71" s="91" t="s">
        <v>1104</v>
      </c>
      <c r="E71" s="69">
        <v>0.9244</v>
      </c>
      <c r="F71" s="31">
        <f t="shared" si="24"/>
        <v>112074.81999999999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3">
        <v>0</v>
      </c>
      <c r="N71" s="31">
        <v>0</v>
      </c>
      <c r="O71" s="31">
        <v>1100</v>
      </c>
      <c r="P71" s="31">
        <v>110418.54</v>
      </c>
      <c r="Q71" s="31">
        <v>0</v>
      </c>
      <c r="R71" s="31">
        <v>0</v>
      </c>
      <c r="S71" s="31">
        <v>0</v>
      </c>
      <c r="T71" s="147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f>ROUND(P71*1.5%,2)</f>
        <v>1656.28</v>
      </c>
      <c r="AF71" s="31">
        <v>0</v>
      </c>
      <c r="AG71" s="31">
        <v>0</v>
      </c>
      <c r="AH71" s="142" t="s">
        <v>274</v>
      </c>
      <c r="AI71" s="142">
        <v>2020</v>
      </c>
      <c r="AJ71" s="142">
        <v>2020</v>
      </c>
    </row>
    <row r="72" spans="1:37" ht="62.25" x14ac:dyDescent="0.9">
      <c r="B72" s="143" t="s">
        <v>862</v>
      </c>
      <c r="C72" s="144"/>
      <c r="D72" s="145" t="s">
        <v>934</v>
      </c>
      <c r="E72" s="69">
        <f>AVERAGE(E73:E74)</f>
        <v>0.9247850694999683</v>
      </c>
      <c r="F72" s="31">
        <f>F73+F74</f>
        <v>36746.29</v>
      </c>
      <c r="G72" s="31">
        <f t="shared" ref="G72:AG72" si="25">G73+G74</f>
        <v>0</v>
      </c>
      <c r="H72" s="31">
        <f t="shared" si="25"/>
        <v>0</v>
      </c>
      <c r="I72" s="31">
        <f t="shared" si="25"/>
        <v>0</v>
      </c>
      <c r="J72" s="31">
        <f t="shared" si="25"/>
        <v>0</v>
      </c>
      <c r="K72" s="31">
        <f t="shared" si="25"/>
        <v>0</v>
      </c>
      <c r="L72" s="31">
        <f t="shared" si="25"/>
        <v>0</v>
      </c>
      <c r="M72" s="33">
        <f t="shared" si="25"/>
        <v>0</v>
      </c>
      <c r="N72" s="31">
        <f t="shared" si="25"/>
        <v>0</v>
      </c>
      <c r="O72" s="31">
        <f t="shared" si="25"/>
        <v>1670</v>
      </c>
      <c r="P72" s="31">
        <f t="shared" si="25"/>
        <v>36203.24</v>
      </c>
      <c r="Q72" s="31">
        <f t="shared" si="25"/>
        <v>0</v>
      </c>
      <c r="R72" s="31">
        <f t="shared" si="25"/>
        <v>0</v>
      </c>
      <c r="S72" s="31">
        <f t="shared" si="25"/>
        <v>0</v>
      </c>
      <c r="T72" s="31">
        <f t="shared" si="25"/>
        <v>0</v>
      </c>
      <c r="U72" s="31">
        <f t="shared" si="25"/>
        <v>0</v>
      </c>
      <c r="V72" s="31">
        <f t="shared" si="25"/>
        <v>0</v>
      </c>
      <c r="W72" s="31">
        <f t="shared" si="25"/>
        <v>0</v>
      </c>
      <c r="X72" s="31">
        <f t="shared" si="25"/>
        <v>0</v>
      </c>
      <c r="Y72" s="31">
        <f t="shared" si="25"/>
        <v>0</v>
      </c>
      <c r="Z72" s="31">
        <f t="shared" si="25"/>
        <v>0</v>
      </c>
      <c r="AA72" s="31">
        <f t="shared" si="25"/>
        <v>0</v>
      </c>
      <c r="AB72" s="31">
        <f t="shared" si="25"/>
        <v>0</v>
      </c>
      <c r="AC72" s="31">
        <f t="shared" si="25"/>
        <v>0</v>
      </c>
      <c r="AD72" s="31">
        <f t="shared" si="25"/>
        <v>0</v>
      </c>
      <c r="AE72" s="31">
        <f t="shared" si="25"/>
        <v>543.04999999999995</v>
      </c>
      <c r="AF72" s="31">
        <f t="shared" si="25"/>
        <v>0</v>
      </c>
      <c r="AG72" s="31">
        <f t="shared" si="25"/>
        <v>0</v>
      </c>
      <c r="AH72" s="142" t="s">
        <v>934</v>
      </c>
      <c r="AI72" s="142" t="s">
        <v>934</v>
      </c>
      <c r="AJ72" s="142" t="s">
        <v>934</v>
      </c>
    </row>
    <row r="73" spans="1:37" ht="61.5" x14ac:dyDescent="0.85">
      <c r="A73" s="6">
        <v>1</v>
      </c>
      <c r="B73" s="66">
        <f>SUBTOTAL(103,$A$66:A73)</f>
        <v>7</v>
      </c>
      <c r="C73" s="146" t="s">
        <v>1504</v>
      </c>
      <c r="D73" s="72" t="s">
        <v>1486</v>
      </c>
      <c r="E73" s="69">
        <v>0.95197013899993665</v>
      </c>
      <c r="F73" s="31">
        <f t="shared" si="24"/>
        <v>11476.890000000001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3">
        <v>0</v>
      </c>
      <c r="N73" s="31">
        <v>0</v>
      </c>
      <c r="O73" s="31">
        <v>924</v>
      </c>
      <c r="P73" s="31">
        <v>11307.28</v>
      </c>
      <c r="Q73" s="31">
        <v>0</v>
      </c>
      <c r="R73" s="31">
        <v>0</v>
      </c>
      <c r="S73" s="31">
        <v>0</v>
      </c>
      <c r="T73" s="147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f>ROUND(P73*1.5%,2)</f>
        <v>169.61</v>
      </c>
      <c r="AF73" s="31">
        <v>0</v>
      </c>
      <c r="AG73" s="31">
        <v>0</v>
      </c>
      <c r="AH73" s="142" t="s">
        <v>274</v>
      </c>
      <c r="AI73" s="142">
        <v>2020</v>
      </c>
      <c r="AJ73" s="142">
        <v>2020</v>
      </c>
    </row>
    <row r="74" spans="1:37" ht="61.5" x14ac:dyDescent="0.85">
      <c r="A74" s="6">
        <v>1</v>
      </c>
      <c r="B74" s="66">
        <f>SUBTOTAL(103,$A$66:A74)</f>
        <v>8</v>
      </c>
      <c r="C74" s="146" t="s">
        <v>1505</v>
      </c>
      <c r="D74" s="91" t="s">
        <v>1106</v>
      </c>
      <c r="E74" s="69">
        <v>0.89759999999999995</v>
      </c>
      <c r="F74" s="31">
        <f t="shared" si="24"/>
        <v>25269.399999999998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3">
        <v>0</v>
      </c>
      <c r="N74" s="31">
        <v>0</v>
      </c>
      <c r="O74" s="31">
        <v>746</v>
      </c>
      <c r="P74" s="31">
        <v>24895.96</v>
      </c>
      <c r="Q74" s="31">
        <v>0</v>
      </c>
      <c r="R74" s="31">
        <v>0</v>
      </c>
      <c r="S74" s="31">
        <v>0</v>
      </c>
      <c r="T74" s="147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f>ROUND(P74*1.5%,2)</f>
        <v>373.44</v>
      </c>
      <c r="AF74" s="31">
        <v>0</v>
      </c>
      <c r="AG74" s="31">
        <v>0</v>
      </c>
      <c r="AH74" s="142" t="s">
        <v>274</v>
      </c>
      <c r="AI74" s="142">
        <v>2020</v>
      </c>
      <c r="AJ74" s="142">
        <v>2020</v>
      </c>
    </row>
    <row r="75" spans="1:37" ht="62.25" x14ac:dyDescent="0.9">
      <c r="B75" s="143" t="s">
        <v>1111</v>
      </c>
      <c r="C75" s="144"/>
      <c r="D75" s="145" t="s">
        <v>934</v>
      </c>
      <c r="E75" s="69">
        <f>AVERAGE(E76:E90)</f>
        <v>0.95437333333333341</v>
      </c>
      <c r="F75" s="31">
        <f>SUM(F76:F91)</f>
        <v>1647801.5700000003</v>
      </c>
      <c r="G75" s="31">
        <f t="shared" ref="G75:AG75" si="26">SUM(G76:G91)</f>
        <v>0</v>
      </c>
      <c r="H75" s="31">
        <f t="shared" si="26"/>
        <v>0</v>
      </c>
      <c r="I75" s="31">
        <f t="shared" si="26"/>
        <v>0</v>
      </c>
      <c r="J75" s="31">
        <f t="shared" si="26"/>
        <v>0</v>
      </c>
      <c r="K75" s="31">
        <f t="shared" si="26"/>
        <v>0</v>
      </c>
      <c r="L75" s="31">
        <f t="shared" si="26"/>
        <v>0</v>
      </c>
      <c r="M75" s="31">
        <f t="shared" si="26"/>
        <v>0</v>
      </c>
      <c r="N75" s="31">
        <f t="shared" si="26"/>
        <v>0</v>
      </c>
      <c r="O75" s="31">
        <f t="shared" si="26"/>
        <v>10253.560000000001</v>
      </c>
      <c r="P75" s="31">
        <f t="shared" si="26"/>
        <v>1195267.81</v>
      </c>
      <c r="Q75" s="31">
        <f t="shared" si="26"/>
        <v>0</v>
      </c>
      <c r="R75" s="31">
        <f t="shared" si="26"/>
        <v>0</v>
      </c>
      <c r="S75" s="31">
        <f t="shared" si="26"/>
        <v>853.2</v>
      </c>
      <c r="T75" s="31">
        <f t="shared" si="26"/>
        <v>300000</v>
      </c>
      <c r="U75" s="31">
        <f t="shared" si="26"/>
        <v>143.80000000000001</v>
      </c>
      <c r="V75" s="31">
        <f t="shared" si="26"/>
        <v>128182</v>
      </c>
      <c r="W75" s="31">
        <f t="shared" si="26"/>
        <v>0</v>
      </c>
      <c r="X75" s="31">
        <f t="shared" si="26"/>
        <v>0</v>
      </c>
      <c r="Y75" s="31">
        <f t="shared" si="26"/>
        <v>0</v>
      </c>
      <c r="Z75" s="31">
        <f t="shared" si="26"/>
        <v>0</v>
      </c>
      <c r="AA75" s="31">
        <f t="shared" si="26"/>
        <v>0</v>
      </c>
      <c r="AB75" s="31">
        <f t="shared" si="26"/>
        <v>0</v>
      </c>
      <c r="AC75" s="31">
        <f t="shared" si="26"/>
        <v>0</v>
      </c>
      <c r="AD75" s="31">
        <f t="shared" si="26"/>
        <v>0</v>
      </c>
      <c r="AE75" s="31">
        <f t="shared" si="26"/>
        <v>24351.760000000002</v>
      </c>
      <c r="AF75" s="31">
        <f t="shared" si="26"/>
        <v>0</v>
      </c>
      <c r="AG75" s="31">
        <f t="shared" si="26"/>
        <v>0</v>
      </c>
      <c r="AH75" s="142" t="s">
        <v>934</v>
      </c>
      <c r="AI75" s="142" t="s">
        <v>934</v>
      </c>
      <c r="AJ75" s="142" t="s">
        <v>934</v>
      </c>
    </row>
    <row r="76" spans="1:37" ht="61.5" x14ac:dyDescent="0.85">
      <c r="A76" s="6">
        <v>1</v>
      </c>
      <c r="B76" s="66">
        <f>SUBTOTAL(103,$A$66:A76)</f>
        <v>9</v>
      </c>
      <c r="C76" s="146" t="s">
        <v>1506</v>
      </c>
      <c r="D76" s="91" t="s">
        <v>1105</v>
      </c>
      <c r="E76" s="69">
        <v>0.97330000000000005</v>
      </c>
      <c r="F76" s="31">
        <f t="shared" si="24"/>
        <v>11703.439999999999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3">
        <v>0</v>
      </c>
      <c r="N76" s="31">
        <v>0</v>
      </c>
      <c r="O76" s="31">
        <v>1120</v>
      </c>
      <c r="P76" s="31">
        <v>11530.48</v>
      </c>
      <c r="Q76" s="31">
        <v>0</v>
      </c>
      <c r="R76" s="31">
        <v>0</v>
      </c>
      <c r="S76" s="31">
        <v>0</v>
      </c>
      <c r="T76" s="147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f>ROUND(P76*1.5%,2)</f>
        <v>172.96</v>
      </c>
      <c r="AF76" s="31">
        <v>0</v>
      </c>
      <c r="AG76" s="31">
        <v>0</v>
      </c>
      <c r="AH76" s="142" t="s">
        <v>274</v>
      </c>
      <c r="AI76" s="142">
        <v>2020</v>
      </c>
      <c r="AJ76" s="142">
        <v>2020</v>
      </c>
    </row>
    <row r="77" spans="1:37" ht="61.5" x14ac:dyDescent="0.85">
      <c r="A77" s="6">
        <v>1</v>
      </c>
      <c r="B77" s="66">
        <f>SUBTOTAL(103,$A$66:A77)</f>
        <v>10</v>
      </c>
      <c r="C77" s="146" t="s">
        <v>1507</v>
      </c>
      <c r="D77" s="91" t="s">
        <v>1106</v>
      </c>
      <c r="E77" s="69">
        <v>0.86990000000000001</v>
      </c>
      <c r="F77" s="31">
        <f t="shared" si="24"/>
        <v>173871.57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3">
        <v>0</v>
      </c>
      <c r="N77" s="31">
        <v>0</v>
      </c>
      <c r="O77" s="31">
        <v>728.12</v>
      </c>
      <c r="P77" s="31">
        <v>171302.04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f t="shared" ref="AE77:AE82" si="27">ROUND(P77*1.5%,2)</f>
        <v>2569.5300000000002</v>
      </c>
      <c r="AF77" s="31">
        <v>0</v>
      </c>
      <c r="AG77" s="31">
        <v>0</v>
      </c>
      <c r="AH77" s="142" t="s">
        <v>274</v>
      </c>
      <c r="AI77" s="142">
        <v>2020</v>
      </c>
      <c r="AJ77" s="142">
        <v>2020</v>
      </c>
    </row>
    <row r="78" spans="1:37" ht="61.5" x14ac:dyDescent="0.85">
      <c r="A78" s="6">
        <v>1</v>
      </c>
      <c r="B78" s="66">
        <f>SUBTOTAL(103,$A$66:A78)</f>
        <v>11</v>
      </c>
      <c r="C78" s="146" t="s">
        <v>1508</v>
      </c>
      <c r="D78" s="91" t="s">
        <v>1104</v>
      </c>
      <c r="E78" s="69">
        <v>0.95440000000000003</v>
      </c>
      <c r="F78" s="31">
        <f t="shared" si="24"/>
        <v>82406.94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3">
        <v>0</v>
      </c>
      <c r="N78" s="31">
        <v>0</v>
      </c>
      <c r="O78" s="31">
        <v>755</v>
      </c>
      <c r="P78" s="31">
        <v>81189.100000000006</v>
      </c>
      <c r="Q78" s="31">
        <v>0</v>
      </c>
      <c r="R78" s="31">
        <v>0</v>
      </c>
      <c r="S78" s="31">
        <v>0</v>
      </c>
      <c r="T78" s="147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f t="shared" si="27"/>
        <v>1217.8399999999999</v>
      </c>
      <c r="AF78" s="31">
        <v>0</v>
      </c>
      <c r="AG78" s="31">
        <v>0</v>
      </c>
      <c r="AH78" s="142" t="s">
        <v>274</v>
      </c>
      <c r="AI78" s="142">
        <v>2020</v>
      </c>
      <c r="AJ78" s="142">
        <v>2020</v>
      </c>
    </row>
    <row r="79" spans="1:37" ht="61.5" x14ac:dyDescent="0.85">
      <c r="A79" s="6">
        <v>1</v>
      </c>
      <c r="B79" s="66">
        <f>SUBTOTAL(103,$A$66:A79)</f>
        <v>12</v>
      </c>
      <c r="C79" s="146" t="s">
        <v>1509</v>
      </c>
      <c r="D79" s="91" t="s">
        <v>1488</v>
      </c>
      <c r="E79" s="69">
        <v>1.0023</v>
      </c>
      <c r="F79" s="31">
        <f t="shared" si="24"/>
        <v>48720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3">
        <v>0</v>
      </c>
      <c r="N79" s="31">
        <v>0</v>
      </c>
      <c r="O79" s="31">
        <v>497</v>
      </c>
      <c r="P79" s="31">
        <v>48000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f t="shared" si="27"/>
        <v>720</v>
      </c>
      <c r="AF79" s="31">
        <v>0</v>
      </c>
      <c r="AG79" s="31">
        <v>0</v>
      </c>
      <c r="AH79" s="142" t="s">
        <v>274</v>
      </c>
      <c r="AI79" s="142">
        <v>2020</v>
      </c>
      <c r="AJ79" s="142">
        <v>2020</v>
      </c>
    </row>
    <row r="80" spans="1:37" ht="61.5" x14ac:dyDescent="0.85">
      <c r="A80" s="6">
        <v>1</v>
      </c>
      <c r="B80" s="66">
        <f>SUBTOTAL(103,$A$66:A80)</f>
        <v>13</v>
      </c>
      <c r="C80" s="146" t="s">
        <v>1510</v>
      </c>
      <c r="D80" s="91" t="s">
        <v>1106</v>
      </c>
      <c r="E80" s="69">
        <v>0.96599999999999997</v>
      </c>
      <c r="F80" s="31">
        <f t="shared" si="24"/>
        <v>27496.35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3">
        <v>0</v>
      </c>
      <c r="N80" s="31">
        <v>0</v>
      </c>
      <c r="O80" s="31">
        <v>636</v>
      </c>
      <c r="P80" s="31">
        <v>27090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f t="shared" si="27"/>
        <v>406.35</v>
      </c>
      <c r="AF80" s="31">
        <v>0</v>
      </c>
      <c r="AG80" s="31">
        <v>0</v>
      </c>
      <c r="AH80" s="142" t="s">
        <v>274</v>
      </c>
      <c r="AI80" s="142">
        <v>2020</v>
      </c>
      <c r="AJ80" s="142">
        <v>2020</v>
      </c>
    </row>
    <row r="81" spans="1:36" ht="61.5" x14ac:dyDescent="0.85">
      <c r="A81" s="6">
        <v>1</v>
      </c>
      <c r="B81" s="66">
        <f>SUBTOTAL(103,$A$66:A81)</f>
        <v>14</v>
      </c>
      <c r="C81" s="146" t="s">
        <v>1511</v>
      </c>
      <c r="D81" s="91" t="s">
        <v>1104</v>
      </c>
      <c r="E81" s="69">
        <v>0.90890000000000004</v>
      </c>
      <c r="F81" s="31">
        <f t="shared" si="24"/>
        <v>381944.5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3">
        <v>0</v>
      </c>
      <c r="N81" s="31">
        <v>0</v>
      </c>
      <c r="O81" s="31">
        <v>645</v>
      </c>
      <c r="P81" s="31">
        <v>376300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f t="shared" si="27"/>
        <v>5644.5</v>
      </c>
      <c r="AF81" s="31">
        <v>0</v>
      </c>
      <c r="AG81" s="31">
        <v>0</v>
      </c>
      <c r="AH81" s="142" t="s">
        <v>274</v>
      </c>
      <c r="AI81" s="142">
        <v>2020</v>
      </c>
      <c r="AJ81" s="142">
        <v>2020</v>
      </c>
    </row>
    <row r="82" spans="1:36" ht="61.5" x14ac:dyDescent="0.85">
      <c r="A82" s="6">
        <v>1</v>
      </c>
      <c r="B82" s="66">
        <f>SUBTOTAL(103,$A$66:A82)</f>
        <v>15</v>
      </c>
      <c r="C82" s="146" t="s">
        <v>1512</v>
      </c>
      <c r="D82" s="91" t="s">
        <v>1106</v>
      </c>
      <c r="E82" s="69">
        <v>0.97260000000000002</v>
      </c>
      <c r="F82" s="31">
        <f t="shared" si="24"/>
        <v>16240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3">
        <v>0</v>
      </c>
      <c r="N82" s="31">
        <v>0</v>
      </c>
      <c r="O82" s="31">
        <v>691.81</v>
      </c>
      <c r="P82" s="31">
        <v>16000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f t="shared" si="27"/>
        <v>240</v>
      </c>
      <c r="AF82" s="31">
        <v>0</v>
      </c>
      <c r="AG82" s="31">
        <v>0</v>
      </c>
      <c r="AH82" s="142" t="s">
        <v>274</v>
      </c>
      <c r="AI82" s="142">
        <v>2020</v>
      </c>
      <c r="AJ82" s="142">
        <v>2020</v>
      </c>
    </row>
    <row r="83" spans="1:36" ht="61.5" x14ac:dyDescent="0.85">
      <c r="A83" s="6">
        <v>1</v>
      </c>
      <c r="B83" s="66">
        <f>SUBTOTAL(103,$A$66:A83)</f>
        <v>16</v>
      </c>
      <c r="C83" s="146" t="s">
        <v>1514</v>
      </c>
      <c r="D83" s="91" t="s">
        <v>1104</v>
      </c>
      <c r="E83" s="69">
        <v>0.9919</v>
      </c>
      <c r="F83" s="31">
        <f t="shared" si="24"/>
        <v>304500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3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853.2</v>
      </c>
      <c r="T83" s="147">
        <v>300000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f>ROUND(T83*1.5%,2)</f>
        <v>4500</v>
      </c>
      <c r="AF83" s="31">
        <v>0</v>
      </c>
      <c r="AG83" s="31">
        <v>0</v>
      </c>
      <c r="AH83" s="142" t="s">
        <v>274</v>
      </c>
      <c r="AI83" s="142">
        <v>2020</v>
      </c>
      <c r="AJ83" s="142">
        <v>2020</v>
      </c>
    </row>
    <row r="84" spans="1:36" ht="61.5" x14ac:dyDescent="0.85">
      <c r="A84" s="6">
        <v>1</v>
      </c>
      <c r="B84" s="66">
        <f>SUBTOTAL(103,$A$66:A84)</f>
        <v>17</v>
      </c>
      <c r="C84" s="146" t="s">
        <v>1189</v>
      </c>
      <c r="D84" s="91" t="s">
        <v>1489</v>
      </c>
      <c r="E84" s="69">
        <v>0.96870000000000001</v>
      </c>
      <c r="F84" s="31">
        <f t="shared" si="24"/>
        <v>148190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3">
        <v>0</v>
      </c>
      <c r="N84" s="31">
        <v>0</v>
      </c>
      <c r="O84" s="31">
        <v>404</v>
      </c>
      <c r="P84" s="31">
        <v>146000</v>
      </c>
      <c r="Q84" s="31">
        <v>0</v>
      </c>
      <c r="R84" s="31">
        <v>0</v>
      </c>
      <c r="S84" s="31">
        <v>0</v>
      </c>
      <c r="T84" s="147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f>ROUND(P84*1.5%,2)</f>
        <v>2190</v>
      </c>
      <c r="AF84" s="31">
        <v>0</v>
      </c>
      <c r="AG84" s="31">
        <v>0</v>
      </c>
      <c r="AH84" s="142" t="s">
        <v>274</v>
      </c>
      <c r="AI84" s="142">
        <v>2020</v>
      </c>
      <c r="AJ84" s="142">
        <v>2020</v>
      </c>
    </row>
    <row r="85" spans="1:36" ht="61.5" x14ac:dyDescent="0.85">
      <c r="A85" s="6">
        <v>1</v>
      </c>
      <c r="B85" s="66">
        <f>SUBTOTAL(103,$A$66:A85)</f>
        <v>18</v>
      </c>
      <c r="C85" s="146" t="s">
        <v>1513</v>
      </c>
      <c r="D85" s="91" t="s">
        <v>1104</v>
      </c>
      <c r="E85" s="69">
        <v>0.78869999999999996</v>
      </c>
      <c r="F85" s="31">
        <f t="shared" si="24"/>
        <v>10902.52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3">
        <v>0</v>
      </c>
      <c r="N85" s="31">
        <v>0</v>
      </c>
      <c r="O85" s="31">
        <v>582</v>
      </c>
      <c r="P85" s="31">
        <v>10741.4</v>
      </c>
      <c r="Q85" s="31">
        <v>0</v>
      </c>
      <c r="R85" s="31">
        <v>0</v>
      </c>
      <c r="S85" s="31">
        <v>0</v>
      </c>
      <c r="T85" s="147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f>ROUND(P85*1.5%,2)</f>
        <v>161.12</v>
      </c>
      <c r="AF85" s="31">
        <v>0</v>
      </c>
      <c r="AG85" s="31">
        <v>0</v>
      </c>
      <c r="AH85" s="142" t="s">
        <v>274</v>
      </c>
      <c r="AI85" s="142">
        <v>2020</v>
      </c>
      <c r="AJ85" s="142">
        <v>2020</v>
      </c>
    </row>
    <row r="86" spans="1:36" ht="61.5" x14ac:dyDescent="0.85">
      <c r="A86" s="6">
        <v>1</v>
      </c>
      <c r="B86" s="66">
        <f>SUBTOTAL(103,$A$66:A86)</f>
        <v>19</v>
      </c>
      <c r="C86" s="146" t="s">
        <v>1515</v>
      </c>
      <c r="D86" s="91" t="s">
        <v>1486</v>
      </c>
      <c r="E86" s="69">
        <v>1.0038</v>
      </c>
      <c r="F86" s="31">
        <f t="shared" si="24"/>
        <v>17378.54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3">
        <v>0</v>
      </c>
      <c r="N86" s="31">
        <v>0</v>
      </c>
      <c r="O86" s="31">
        <v>1156</v>
      </c>
      <c r="P86" s="31">
        <v>17121.71</v>
      </c>
      <c r="Q86" s="31">
        <v>0</v>
      </c>
      <c r="R86" s="31">
        <v>0</v>
      </c>
      <c r="S86" s="31">
        <v>0</v>
      </c>
      <c r="T86" s="147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f>ROUND(P86*1.5%,2)</f>
        <v>256.83</v>
      </c>
      <c r="AF86" s="31">
        <v>0</v>
      </c>
      <c r="AG86" s="31">
        <v>0</v>
      </c>
      <c r="AH86" s="142" t="s">
        <v>274</v>
      </c>
      <c r="AI86" s="142">
        <v>2020</v>
      </c>
      <c r="AJ86" s="142">
        <v>2020</v>
      </c>
    </row>
    <row r="87" spans="1:36" ht="61.5" x14ac:dyDescent="0.85">
      <c r="A87" s="6">
        <v>1</v>
      </c>
      <c r="B87" s="66">
        <f>SUBTOTAL(103,$A$66:A87)</f>
        <v>20</v>
      </c>
      <c r="C87" s="146" t="s">
        <v>1587</v>
      </c>
      <c r="D87" s="91" t="s">
        <v>1104</v>
      </c>
      <c r="E87" s="69">
        <v>0.97260000000000002</v>
      </c>
      <c r="F87" s="31">
        <f t="shared" si="24"/>
        <v>130104.73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3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147">
        <v>0</v>
      </c>
      <c r="U87" s="31">
        <v>143.80000000000001</v>
      </c>
      <c r="V87" s="31">
        <v>128182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f>ROUND(V87*1.5%,2)</f>
        <v>1922.73</v>
      </c>
      <c r="AF87" s="31">
        <v>0</v>
      </c>
      <c r="AG87" s="31">
        <v>0</v>
      </c>
      <c r="AH87" s="142" t="s">
        <v>274</v>
      </c>
      <c r="AI87" s="142">
        <v>2020</v>
      </c>
      <c r="AJ87" s="142">
        <v>2020</v>
      </c>
    </row>
    <row r="88" spans="1:36" ht="61.5" x14ac:dyDescent="0.85">
      <c r="A88" s="6">
        <v>1</v>
      </c>
      <c r="B88" s="66">
        <f>SUBTOTAL(103,$A$66:A88)</f>
        <v>21</v>
      </c>
      <c r="C88" s="146" t="s">
        <v>1588</v>
      </c>
      <c r="D88" s="91" t="s">
        <v>1104</v>
      </c>
      <c r="E88" s="69">
        <v>0.9859</v>
      </c>
      <c r="F88" s="31">
        <f t="shared" si="24"/>
        <v>159880.76999999999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3">
        <v>0</v>
      </c>
      <c r="N88" s="31">
        <v>0</v>
      </c>
      <c r="O88" s="31">
        <v>622.63</v>
      </c>
      <c r="P88" s="31">
        <v>157518</v>
      </c>
      <c r="Q88" s="31">
        <v>0</v>
      </c>
      <c r="R88" s="31">
        <v>0</v>
      </c>
      <c r="S88" s="31">
        <v>0</v>
      </c>
      <c r="T88" s="147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f>ROUND(P88*1.5%,2)</f>
        <v>2362.77</v>
      </c>
      <c r="AF88" s="31">
        <v>0</v>
      </c>
      <c r="AG88" s="31">
        <v>0</v>
      </c>
      <c r="AH88" s="142" t="s">
        <v>274</v>
      </c>
      <c r="AI88" s="142">
        <v>2020</v>
      </c>
      <c r="AJ88" s="142">
        <v>2020</v>
      </c>
    </row>
    <row r="89" spans="1:36" ht="61.5" x14ac:dyDescent="0.85">
      <c r="A89" s="6">
        <v>1</v>
      </c>
      <c r="B89" s="66">
        <f>SUBTOTAL(103,$A$66:A89)</f>
        <v>22</v>
      </c>
      <c r="C89" s="146" t="s">
        <v>1589</v>
      </c>
      <c r="D89" s="91" t="s">
        <v>1104</v>
      </c>
      <c r="E89" s="69">
        <v>1.0001</v>
      </c>
      <c r="F89" s="31">
        <f t="shared" si="24"/>
        <v>9498.3700000000008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3">
        <v>0</v>
      </c>
      <c r="N89" s="31">
        <v>0</v>
      </c>
      <c r="O89" s="31">
        <v>550</v>
      </c>
      <c r="P89" s="31">
        <v>9358</v>
      </c>
      <c r="Q89" s="31">
        <v>0</v>
      </c>
      <c r="R89" s="31">
        <v>0</v>
      </c>
      <c r="S89" s="31">
        <v>0</v>
      </c>
      <c r="T89" s="147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f>ROUND(P89*1.5%,2)</f>
        <v>140.37</v>
      </c>
      <c r="AF89" s="31">
        <v>0</v>
      </c>
      <c r="AG89" s="31">
        <v>0</v>
      </c>
      <c r="AH89" s="142" t="s">
        <v>274</v>
      </c>
      <c r="AI89" s="142">
        <v>2020</v>
      </c>
      <c r="AJ89" s="142">
        <v>2020</v>
      </c>
    </row>
    <row r="90" spans="1:36" ht="61.5" x14ac:dyDescent="0.85">
      <c r="A90" s="6">
        <v>1</v>
      </c>
      <c r="B90" s="66">
        <f>SUBTOTAL(103,$A$66:A90)</f>
        <v>23</v>
      </c>
      <c r="C90" s="146" t="s">
        <v>1590</v>
      </c>
      <c r="D90" s="91" t="s">
        <v>1109</v>
      </c>
      <c r="E90" s="69">
        <v>0.95650000000000002</v>
      </c>
      <c r="F90" s="31">
        <f t="shared" si="24"/>
        <v>61000.49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3">
        <v>0</v>
      </c>
      <c r="N90" s="31">
        <v>0</v>
      </c>
      <c r="O90" s="31">
        <v>807</v>
      </c>
      <c r="P90" s="31">
        <v>60099</v>
      </c>
      <c r="Q90" s="31">
        <v>0</v>
      </c>
      <c r="R90" s="31">
        <v>0</v>
      </c>
      <c r="S90" s="31">
        <v>0</v>
      </c>
      <c r="T90" s="147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f>ROUND(P90*1.5%,2)</f>
        <v>901.49</v>
      </c>
      <c r="AF90" s="31">
        <v>0</v>
      </c>
      <c r="AG90" s="31">
        <v>0</v>
      </c>
      <c r="AH90" s="142" t="s">
        <v>274</v>
      </c>
      <c r="AI90" s="142">
        <v>2020</v>
      </c>
      <c r="AJ90" s="142">
        <v>2020</v>
      </c>
    </row>
    <row r="91" spans="1:36" ht="61.5" x14ac:dyDescent="0.85">
      <c r="A91" s="6">
        <v>1</v>
      </c>
      <c r="B91" s="66">
        <f>SUBTOTAL(103,$A$66:A91)</f>
        <v>24</v>
      </c>
      <c r="C91" s="146" t="s">
        <v>1701</v>
      </c>
      <c r="D91" s="91" t="s">
        <v>1104</v>
      </c>
      <c r="E91" s="69">
        <v>0.76249999999999996</v>
      </c>
      <c r="F91" s="31">
        <f t="shared" si="24"/>
        <v>63963.35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3">
        <v>0</v>
      </c>
      <c r="N91" s="31">
        <v>0</v>
      </c>
      <c r="O91" s="31">
        <v>1059</v>
      </c>
      <c r="P91" s="31">
        <v>63018.080000000002</v>
      </c>
      <c r="Q91" s="31">
        <v>0</v>
      </c>
      <c r="R91" s="31">
        <v>0</v>
      </c>
      <c r="S91" s="31">
        <v>0</v>
      </c>
      <c r="T91" s="147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f>ROUND(P91*1.5%,2)</f>
        <v>945.27</v>
      </c>
      <c r="AF91" s="31">
        <v>0</v>
      </c>
      <c r="AG91" s="31">
        <v>0</v>
      </c>
      <c r="AH91" s="142" t="s">
        <v>274</v>
      </c>
      <c r="AI91" s="142">
        <v>2020</v>
      </c>
      <c r="AJ91" s="142">
        <v>2020</v>
      </c>
    </row>
    <row r="92" spans="1:36" ht="62.25" x14ac:dyDescent="0.9">
      <c r="B92" s="143" t="s">
        <v>866</v>
      </c>
      <c r="C92" s="144"/>
      <c r="D92" s="145" t="s">
        <v>934</v>
      </c>
      <c r="E92" s="69">
        <f>AVERAGE(E93:E98)</f>
        <v>0.76542144298194448</v>
      </c>
      <c r="F92" s="31">
        <f>SUM(F93:F98)</f>
        <v>7687133.0599999996</v>
      </c>
      <c r="G92" s="31">
        <f t="shared" ref="G92:AG92" si="28">SUM(G93:G98)</f>
        <v>0</v>
      </c>
      <c r="H92" s="31">
        <f t="shared" si="28"/>
        <v>0</v>
      </c>
      <c r="I92" s="31">
        <f t="shared" si="28"/>
        <v>0</v>
      </c>
      <c r="J92" s="31">
        <f t="shared" si="28"/>
        <v>0</v>
      </c>
      <c r="K92" s="31">
        <f t="shared" si="28"/>
        <v>0</v>
      </c>
      <c r="L92" s="31">
        <f t="shared" si="28"/>
        <v>0</v>
      </c>
      <c r="M92" s="33">
        <f t="shared" si="28"/>
        <v>0</v>
      </c>
      <c r="N92" s="31">
        <f t="shared" si="28"/>
        <v>0</v>
      </c>
      <c r="O92" s="31">
        <f t="shared" si="28"/>
        <v>5334.26</v>
      </c>
      <c r="P92" s="31">
        <f t="shared" si="28"/>
        <v>7573530.0999999996</v>
      </c>
      <c r="Q92" s="31">
        <f t="shared" si="28"/>
        <v>0</v>
      </c>
      <c r="R92" s="31">
        <f t="shared" si="28"/>
        <v>0</v>
      </c>
      <c r="S92" s="31">
        <f t="shared" si="28"/>
        <v>0</v>
      </c>
      <c r="T92" s="31">
        <f t="shared" si="28"/>
        <v>0</v>
      </c>
      <c r="U92" s="31">
        <f t="shared" si="28"/>
        <v>0</v>
      </c>
      <c r="V92" s="31">
        <f t="shared" si="28"/>
        <v>0</v>
      </c>
      <c r="W92" s="31">
        <f t="shared" si="28"/>
        <v>0</v>
      </c>
      <c r="X92" s="31">
        <f t="shared" si="28"/>
        <v>0</v>
      </c>
      <c r="Y92" s="31">
        <f t="shared" si="28"/>
        <v>0</v>
      </c>
      <c r="Z92" s="31">
        <f t="shared" si="28"/>
        <v>0</v>
      </c>
      <c r="AA92" s="31">
        <f t="shared" si="28"/>
        <v>0</v>
      </c>
      <c r="AB92" s="31">
        <f t="shared" si="28"/>
        <v>0</v>
      </c>
      <c r="AC92" s="31">
        <f t="shared" si="28"/>
        <v>0</v>
      </c>
      <c r="AD92" s="31">
        <f t="shared" si="28"/>
        <v>0</v>
      </c>
      <c r="AE92" s="31">
        <f t="shared" si="28"/>
        <v>113602.96</v>
      </c>
      <c r="AF92" s="31">
        <f t="shared" si="28"/>
        <v>0</v>
      </c>
      <c r="AG92" s="31">
        <f t="shared" si="28"/>
        <v>0</v>
      </c>
      <c r="AH92" s="142" t="s">
        <v>934</v>
      </c>
      <c r="AI92" s="142" t="s">
        <v>934</v>
      </c>
      <c r="AJ92" s="142" t="s">
        <v>934</v>
      </c>
    </row>
    <row r="93" spans="1:36" ht="61.5" x14ac:dyDescent="0.85">
      <c r="A93" s="6">
        <v>1</v>
      </c>
      <c r="B93" s="66">
        <f>SUBTOTAL(103,$A$66:A93)</f>
        <v>25</v>
      </c>
      <c r="C93" s="146" t="s">
        <v>1516</v>
      </c>
      <c r="D93" s="72" t="s">
        <v>1490</v>
      </c>
      <c r="E93" s="69">
        <v>0.79441212856856191</v>
      </c>
      <c r="F93" s="31">
        <f t="shared" si="24"/>
        <v>5491611.8300000001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3">
        <v>0</v>
      </c>
      <c r="N93" s="31">
        <v>0</v>
      </c>
      <c r="O93" s="31">
        <v>1148</v>
      </c>
      <c r="P93" s="31">
        <v>5410455</v>
      </c>
      <c r="Q93" s="31">
        <v>0</v>
      </c>
      <c r="R93" s="31">
        <v>0</v>
      </c>
      <c r="S93" s="31">
        <v>0</v>
      </c>
      <c r="T93" s="147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f t="shared" ref="AE93:AE98" si="29">ROUND(P93*1.5%,2)</f>
        <v>81156.83</v>
      </c>
      <c r="AF93" s="31">
        <v>0</v>
      </c>
      <c r="AG93" s="31">
        <v>0</v>
      </c>
      <c r="AH93" s="142" t="s">
        <v>274</v>
      </c>
      <c r="AI93" s="142">
        <v>2020</v>
      </c>
      <c r="AJ93" s="142">
        <v>2020</v>
      </c>
    </row>
    <row r="94" spans="1:36" ht="61.5" x14ac:dyDescent="0.85">
      <c r="A94" s="6">
        <v>1</v>
      </c>
      <c r="B94" s="66">
        <f>SUBTOTAL(103,$A$66:A94)</f>
        <v>26</v>
      </c>
      <c r="C94" s="146" t="s">
        <v>1517</v>
      </c>
      <c r="D94" s="72" t="s">
        <v>1486</v>
      </c>
      <c r="E94" s="69">
        <v>0.77911652932310516</v>
      </c>
      <c r="F94" s="31">
        <f t="shared" si="24"/>
        <v>1854405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3">
        <v>0</v>
      </c>
      <c r="N94" s="31">
        <v>0</v>
      </c>
      <c r="O94" s="31">
        <v>812.5</v>
      </c>
      <c r="P94" s="31">
        <v>1827000</v>
      </c>
      <c r="Q94" s="31">
        <v>0</v>
      </c>
      <c r="R94" s="31">
        <v>0</v>
      </c>
      <c r="S94" s="31">
        <v>0</v>
      </c>
      <c r="T94" s="147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f t="shared" si="29"/>
        <v>27405</v>
      </c>
      <c r="AF94" s="31">
        <v>0</v>
      </c>
      <c r="AG94" s="31">
        <v>0</v>
      </c>
      <c r="AH94" s="142" t="s">
        <v>274</v>
      </c>
      <c r="AI94" s="142">
        <v>2020</v>
      </c>
      <c r="AJ94" s="142">
        <v>2020</v>
      </c>
    </row>
    <row r="95" spans="1:36" ht="61.5" x14ac:dyDescent="0.85">
      <c r="A95" s="6">
        <v>1</v>
      </c>
      <c r="B95" s="66">
        <f>SUBTOTAL(103,$A$66:A95)</f>
        <v>27</v>
      </c>
      <c r="C95" s="146" t="s">
        <v>1518</v>
      </c>
      <c r="D95" s="91" t="s">
        <v>1104</v>
      </c>
      <c r="E95" s="69">
        <v>0.64500000000000002</v>
      </c>
      <c r="F95" s="31">
        <f t="shared" si="24"/>
        <v>68239.680000000008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3">
        <v>0</v>
      </c>
      <c r="N95" s="31">
        <v>0</v>
      </c>
      <c r="O95" s="31">
        <v>1240.56</v>
      </c>
      <c r="P95" s="31">
        <v>67231.210000000006</v>
      </c>
      <c r="Q95" s="31">
        <v>0</v>
      </c>
      <c r="R95" s="31">
        <v>0</v>
      </c>
      <c r="S95" s="31">
        <v>0</v>
      </c>
      <c r="T95" s="147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f t="shared" si="29"/>
        <v>1008.47</v>
      </c>
      <c r="AF95" s="31">
        <v>0</v>
      </c>
      <c r="AG95" s="31">
        <v>0</v>
      </c>
      <c r="AH95" s="142" t="s">
        <v>274</v>
      </c>
      <c r="AI95" s="142">
        <v>2020</v>
      </c>
      <c r="AJ95" s="142">
        <v>2020</v>
      </c>
    </row>
    <row r="96" spans="1:36" ht="61.5" x14ac:dyDescent="0.85">
      <c r="A96" s="6">
        <v>1</v>
      </c>
      <c r="B96" s="66">
        <f>SUBTOTAL(103,$A$66:A96)</f>
        <v>28</v>
      </c>
      <c r="C96" s="146" t="s">
        <v>1519</v>
      </c>
      <c r="D96" s="91" t="s">
        <v>1104</v>
      </c>
      <c r="E96" s="69">
        <v>0.88700000000000001</v>
      </c>
      <c r="F96" s="31">
        <f t="shared" si="24"/>
        <v>166460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3">
        <v>0</v>
      </c>
      <c r="N96" s="31">
        <v>0</v>
      </c>
      <c r="O96" s="31">
        <v>838</v>
      </c>
      <c r="P96" s="31">
        <v>164000</v>
      </c>
      <c r="Q96" s="31">
        <v>0</v>
      </c>
      <c r="R96" s="31">
        <v>0</v>
      </c>
      <c r="S96" s="31">
        <v>0</v>
      </c>
      <c r="T96" s="147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f t="shared" si="29"/>
        <v>2460</v>
      </c>
      <c r="AF96" s="31">
        <v>0</v>
      </c>
      <c r="AG96" s="31">
        <v>0</v>
      </c>
      <c r="AH96" s="142" t="s">
        <v>274</v>
      </c>
      <c r="AI96" s="142">
        <v>2020</v>
      </c>
      <c r="AJ96" s="142">
        <v>2020</v>
      </c>
    </row>
    <row r="97" spans="1:36" ht="61.5" x14ac:dyDescent="0.85">
      <c r="A97" s="6">
        <v>1</v>
      </c>
      <c r="B97" s="66">
        <f>SUBTOTAL(103,$A$66:A97)</f>
        <v>29</v>
      </c>
      <c r="C97" s="146" t="s">
        <v>1520</v>
      </c>
      <c r="D97" s="91" t="s">
        <v>1104</v>
      </c>
      <c r="E97" s="69">
        <v>0.78459999999999996</v>
      </c>
      <c r="F97" s="31">
        <f t="shared" si="24"/>
        <v>103579.83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3">
        <v>0</v>
      </c>
      <c r="N97" s="31">
        <v>0</v>
      </c>
      <c r="O97" s="31">
        <v>823.2</v>
      </c>
      <c r="P97" s="31">
        <v>102049.09</v>
      </c>
      <c r="Q97" s="31">
        <v>0</v>
      </c>
      <c r="R97" s="31">
        <v>0</v>
      </c>
      <c r="S97" s="31">
        <v>0</v>
      </c>
      <c r="T97" s="147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f t="shared" si="29"/>
        <v>1530.74</v>
      </c>
      <c r="AF97" s="31">
        <v>0</v>
      </c>
      <c r="AG97" s="31">
        <v>0</v>
      </c>
      <c r="AH97" s="142" t="s">
        <v>274</v>
      </c>
      <c r="AI97" s="142">
        <v>2020</v>
      </c>
      <c r="AJ97" s="142">
        <v>2020</v>
      </c>
    </row>
    <row r="98" spans="1:36" ht="61.5" x14ac:dyDescent="0.85">
      <c r="A98" s="6">
        <v>1</v>
      </c>
      <c r="B98" s="66">
        <f>SUBTOTAL(103,$A$66:A98)</f>
        <v>30</v>
      </c>
      <c r="C98" s="146" t="s">
        <v>1521</v>
      </c>
      <c r="D98" s="91" t="s">
        <v>1104</v>
      </c>
      <c r="E98" s="69">
        <v>0.70240000000000002</v>
      </c>
      <c r="F98" s="31">
        <f t="shared" si="24"/>
        <v>2836.7200000000003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3">
        <v>0</v>
      </c>
      <c r="N98" s="31">
        <v>0</v>
      </c>
      <c r="O98" s="31">
        <v>472</v>
      </c>
      <c r="P98" s="31">
        <v>2794.8</v>
      </c>
      <c r="Q98" s="31">
        <v>0</v>
      </c>
      <c r="R98" s="31">
        <v>0</v>
      </c>
      <c r="S98" s="31">
        <v>0</v>
      </c>
      <c r="T98" s="147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f t="shared" si="29"/>
        <v>41.92</v>
      </c>
      <c r="AF98" s="31">
        <v>0</v>
      </c>
      <c r="AG98" s="31">
        <v>0</v>
      </c>
      <c r="AH98" s="142" t="s">
        <v>274</v>
      </c>
      <c r="AI98" s="142">
        <v>2020</v>
      </c>
      <c r="AJ98" s="142">
        <v>2020</v>
      </c>
    </row>
    <row r="99" spans="1:36" ht="62.25" x14ac:dyDescent="0.9">
      <c r="B99" s="143" t="s">
        <v>865</v>
      </c>
      <c r="C99" s="144"/>
      <c r="D99" s="145" t="s">
        <v>934</v>
      </c>
      <c r="E99" s="69">
        <f>AVERAGE(E100:E103)</f>
        <v>0.6400023136337607</v>
      </c>
      <c r="F99" s="31">
        <f>SUM(F100:F103)</f>
        <v>202477.66</v>
      </c>
      <c r="G99" s="31">
        <f t="shared" ref="G99:AG99" si="30">SUM(G100:G103)</f>
        <v>0</v>
      </c>
      <c r="H99" s="31">
        <f t="shared" si="30"/>
        <v>0</v>
      </c>
      <c r="I99" s="31">
        <f t="shared" si="30"/>
        <v>0</v>
      </c>
      <c r="J99" s="31">
        <f t="shared" si="30"/>
        <v>0</v>
      </c>
      <c r="K99" s="31">
        <f t="shared" si="30"/>
        <v>0</v>
      </c>
      <c r="L99" s="31">
        <f t="shared" si="30"/>
        <v>0</v>
      </c>
      <c r="M99" s="33">
        <f t="shared" si="30"/>
        <v>0</v>
      </c>
      <c r="N99" s="31">
        <f t="shared" si="30"/>
        <v>0</v>
      </c>
      <c r="O99" s="31">
        <f t="shared" si="30"/>
        <v>1984</v>
      </c>
      <c r="P99" s="31">
        <f t="shared" si="30"/>
        <v>199485.37999999998</v>
      </c>
      <c r="Q99" s="31">
        <f t="shared" si="30"/>
        <v>0</v>
      </c>
      <c r="R99" s="31">
        <f t="shared" si="30"/>
        <v>0</v>
      </c>
      <c r="S99" s="31">
        <f t="shared" si="30"/>
        <v>0</v>
      </c>
      <c r="T99" s="31">
        <f t="shared" si="30"/>
        <v>0</v>
      </c>
      <c r="U99" s="31">
        <f t="shared" si="30"/>
        <v>0</v>
      </c>
      <c r="V99" s="31">
        <f t="shared" si="30"/>
        <v>0</v>
      </c>
      <c r="W99" s="31">
        <f t="shared" si="30"/>
        <v>0</v>
      </c>
      <c r="X99" s="31">
        <f t="shared" si="30"/>
        <v>0</v>
      </c>
      <c r="Y99" s="31">
        <f t="shared" si="30"/>
        <v>0</v>
      </c>
      <c r="Z99" s="31">
        <f t="shared" si="30"/>
        <v>0</v>
      </c>
      <c r="AA99" s="31">
        <f t="shared" si="30"/>
        <v>0</v>
      </c>
      <c r="AB99" s="31">
        <f t="shared" si="30"/>
        <v>0</v>
      </c>
      <c r="AC99" s="31">
        <f t="shared" si="30"/>
        <v>0</v>
      </c>
      <c r="AD99" s="31">
        <f t="shared" si="30"/>
        <v>0</v>
      </c>
      <c r="AE99" s="31">
        <f t="shared" si="30"/>
        <v>2992.2799999999997</v>
      </c>
      <c r="AF99" s="31">
        <f t="shared" si="30"/>
        <v>0</v>
      </c>
      <c r="AG99" s="31">
        <f t="shared" si="30"/>
        <v>0</v>
      </c>
      <c r="AH99" s="142" t="s">
        <v>934</v>
      </c>
      <c r="AI99" s="142" t="s">
        <v>934</v>
      </c>
      <c r="AJ99" s="142" t="s">
        <v>934</v>
      </c>
    </row>
    <row r="100" spans="1:36" ht="61.5" x14ac:dyDescent="0.85">
      <c r="A100" s="6">
        <v>1</v>
      </c>
      <c r="B100" s="66">
        <f>SUBTOTAL(103,$A$66:A100)</f>
        <v>31</v>
      </c>
      <c r="C100" s="146" t="s">
        <v>1522</v>
      </c>
      <c r="D100" s="91" t="s">
        <v>1105</v>
      </c>
      <c r="E100" s="69">
        <v>0.4062203289705193</v>
      </c>
      <c r="F100" s="31">
        <f t="shared" si="24"/>
        <v>58593.41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3">
        <v>0</v>
      </c>
      <c r="N100" s="31">
        <v>0</v>
      </c>
      <c r="O100" s="149">
        <v>412</v>
      </c>
      <c r="P100" s="31">
        <v>57727.5</v>
      </c>
      <c r="Q100" s="31">
        <v>0</v>
      </c>
      <c r="R100" s="31">
        <v>0</v>
      </c>
      <c r="S100" s="31">
        <v>0</v>
      </c>
      <c r="T100" s="147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f>ROUND(P100*1.5%,2)</f>
        <v>865.91</v>
      </c>
      <c r="AF100" s="31">
        <v>0</v>
      </c>
      <c r="AG100" s="31">
        <v>0</v>
      </c>
      <c r="AH100" s="142" t="s">
        <v>274</v>
      </c>
      <c r="AI100" s="142">
        <v>2020</v>
      </c>
      <c r="AJ100" s="142">
        <v>2020</v>
      </c>
    </row>
    <row r="101" spans="1:36" ht="61.5" x14ac:dyDescent="0.85">
      <c r="A101" s="6">
        <v>1</v>
      </c>
      <c r="B101" s="66">
        <f>SUBTOTAL(103,$A$66:A101)</f>
        <v>32</v>
      </c>
      <c r="C101" s="146" t="s">
        <v>1523</v>
      </c>
      <c r="D101" s="72" t="s">
        <v>1108</v>
      </c>
      <c r="E101" s="69">
        <v>0.69908892556452351</v>
      </c>
      <c r="F101" s="31">
        <f t="shared" si="24"/>
        <v>15225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3">
        <v>0</v>
      </c>
      <c r="N101" s="31">
        <v>0</v>
      </c>
      <c r="O101" s="31">
        <v>508</v>
      </c>
      <c r="P101" s="31">
        <v>15000</v>
      </c>
      <c r="Q101" s="31">
        <v>0</v>
      </c>
      <c r="R101" s="31">
        <v>0</v>
      </c>
      <c r="S101" s="31">
        <v>0</v>
      </c>
      <c r="T101" s="147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f>ROUND(P101*1.5%,2)</f>
        <v>225</v>
      </c>
      <c r="AF101" s="31">
        <v>0</v>
      </c>
      <c r="AG101" s="31">
        <v>0</v>
      </c>
      <c r="AH101" s="142" t="s">
        <v>274</v>
      </c>
      <c r="AI101" s="142">
        <v>2020</v>
      </c>
      <c r="AJ101" s="142">
        <v>2020</v>
      </c>
    </row>
    <row r="102" spans="1:36" ht="61.5" x14ac:dyDescent="0.85">
      <c r="A102" s="6">
        <v>1</v>
      </c>
      <c r="B102" s="66">
        <f>SUBTOTAL(103,$A$66:A102)</f>
        <v>33</v>
      </c>
      <c r="C102" s="146" t="s">
        <v>1524</v>
      </c>
      <c r="D102" s="91" t="s">
        <v>1104</v>
      </c>
      <c r="E102" s="69">
        <v>0.53310000000000002</v>
      </c>
      <c r="F102" s="31">
        <f t="shared" si="24"/>
        <v>77739.22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3">
        <v>0</v>
      </c>
      <c r="N102" s="31">
        <v>0</v>
      </c>
      <c r="O102" s="31">
        <v>730</v>
      </c>
      <c r="P102" s="31">
        <v>76590.36</v>
      </c>
      <c r="Q102" s="31">
        <v>0</v>
      </c>
      <c r="R102" s="31">
        <v>0</v>
      </c>
      <c r="S102" s="31">
        <v>0</v>
      </c>
      <c r="T102" s="147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f>ROUND(P102*1.5%,2)</f>
        <v>1148.8599999999999</v>
      </c>
      <c r="AF102" s="31">
        <v>0</v>
      </c>
      <c r="AG102" s="31">
        <v>0</v>
      </c>
      <c r="AH102" s="142" t="s">
        <v>274</v>
      </c>
      <c r="AI102" s="142">
        <v>2020</v>
      </c>
      <c r="AJ102" s="142">
        <v>2020</v>
      </c>
    </row>
    <row r="103" spans="1:36" ht="61.5" x14ac:dyDescent="0.85">
      <c r="A103" s="6">
        <v>1</v>
      </c>
      <c r="B103" s="66">
        <f>SUBTOTAL(103,$A$66:A103)</f>
        <v>34</v>
      </c>
      <c r="C103" s="146" t="s">
        <v>1525</v>
      </c>
      <c r="D103" s="91" t="s">
        <v>1484</v>
      </c>
      <c r="E103" s="69">
        <v>0.92159999999999997</v>
      </c>
      <c r="F103" s="31">
        <f t="shared" si="24"/>
        <v>50920.03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3">
        <v>0</v>
      </c>
      <c r="N103" s="31">
        <v>0</v>
      </c>
      <c r="O103" s="31">
        <v>334</v>
      </c>
      <c r="P103" s="31">
        <v>50167.519999999997</v>
      </c>
      <c r="Q103" s="31">
        <v>0</v>
      </c>
      <c r="R103" s="31">
        <v>0</v>
      </c>
      <c r="S103" s="31">
        <v>0</v>
      </c>
      <c r="T103" s="147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f>ROUND(P103*1.5%,2)</f>
        <v>752.51</v>
      </c>
      <c r="AF103" s="31">
        <v>0</v>
      </c>
      <c r="AG103" s="31">
        <v>0</v>
      </c>
      <c r="AH103" s="142" t="s">
        <v>274</v>
      </c>
      <c r="AI103" s="142">
        <v>2020</v>
      </c>
      <c r="AJ103" s="142">
        <v>2020</v>
      </c>
    </row>
    <row r="104" spans="1:36" ht="62.25" x14ac:dyDescent="0.9">
      <c r="B104" s="143" t="s">
        <v>803</v>
      </c>
      <c r="C104" s="144"/>
      <c r="D104" s="145" t="s">
        <v>934</v>
      </c>
      <c r="E104" s="69">
        <f>AVERAGE(E105:E130)</f>
        <v>0.85738159786662282</v>
      </c>
      <c r="F104" s="31">
        <f>SUM(F105:F130)</f>
        <v>10481252.82</v>
      </c>
      <c r="G104" s="31">
        <f t="shared" ref="G104:AG104" si="31">SUM(G105:G130)</f>
        <v>7510</v>
      </c>
      <c r="H104" s="31">
        <f t="shared" si="31"/>
        <v>0</v>
      </c>
      <c r="I104" s="31">
        <f t="shared" si="31"/>
        <v>537439.67000000004</v>
      </c>
      <c r="J104" s="31">
        <f t="shared" si="31"/>
        <v>0</v>
      </c>
      <c r="K104" s="31">
        <f t="shared" si="31"/>
        <v>265366.61</v>
      </c>
      <c r="L104" s="31">
        <f t="shared" si="31"/>
        <v>0</v>
      </c>
      <c r="M104" s="33">
        <f t="shared" si="31"/>
        <v>0</v>
      </c>
      <c r="N104" s="31">
        <f t="shared" si="31"/>
        <v>0</v>
      </c>
      <c r="O104" s="31">
        <f t="shared" si="31"/>
        <v>15975.539999999999</v>
      </c>
      <c r="P104" s="31">
        <f t="shared" si="31"/>
        <v>8854026.3599999994</v>
      </c>
      <c r="Q104" s="31">
        <f t="shared" si="31"/>
        <v>0</v>
      </c>
      <c r="R104" s="31">
        <f t="shared" si="31"/>
        <v>0</v>
      </c>
      <c r="S104" s="31">
        <f t="shared" si="31"/>
        <v>5134.45</v>
      </c>
      <c r="T104" s="31">
        <f t="shared" si="31"/>
        <v>662014.80000000005</v>
      </c>
      <c r="U104" s="31">
        <f t="shared" si="31"/>
        <v>0</v>
      </c>
      <c r="V104" s="31">
        <f t="shared" si="31"/>
        <v>0</v>
      </c>
      <c r="W104" s="31">
        <f t="shared" si="31"/>
        <v>0</v>
      </c>
      <c r="X104" s="31">
        <f t="shared" si="31"/>
        <v>0</v>
      </c>
      <c r="Y104" s="31">
        <f t="shared" si="31"/>
        <v>0</v>
      </c>
      <c r="Z104" s="31">
        <f t="shared" si="31"/>
        <v>0</v>
      </c>
      <c r="AA104" s="31">
        <f t="shared" si="31"/>
        <v>0</v>
      </c>
      <c r="AB104" s="31">
        <f t="shared" si="31"/>
        <v>0</v>
      </c>
      <c r="AC104" s="31">
        <f t="shared" si="31"/>
        <v>0</v>
      </c>
      <c r="AD104" s="31">
        <f t="shared" si="31"/>
        <v>0</v>
      </c>
      <c r="AE104" s="31">
        <f t="shared" si="31"/>
        <v>154895.38</v>
      </c>
      <c r="AF104" s="31">
        <f t="shared" si="31"/>
        <v>0</v>
      </c>
      <c r="AG104" s="31">
        <f t="shared" si="31"/>
        <v>0</v>
      </c>
      <c r="AH104" s="142" t="s">
        <v>934</v>
      </c>
      <c r="AI104" s="142" t="s">
        <v>934</v>
      </c>
      <c r="AJ104" s="142" t="s">
        <v>934</v>
      </c>
    </row>
    <row r="105" spans="1:36" ht="61.5" x14ac:dyDescent="0.85">
      <c r="A105" s="6">
        <v>1</v>
      </c>
      <c r="B105" s="66">
        <f>SUBTOTAL(103,$A$66:A105)</f>
        <v>35</v>
      </c>
      <c r="C105" s="146" t="s">
        <v>1526</v>
      </c>
      <c r="D105" s="72" t="s">
        <v>1105</v>
      </c>
      <c r="E105" s="69">
        <v>0.87120114478643584</v>
      </c>
      <c r="F105" s="31">
        <f t="shared" si="24"/>
        <v>15597.11</v>
      </c>
      <c r="G105" s="31">
        <v>0</v>
      </c>
      <c r="H105" s="31">
        <v>0</v>
      </c>
      <c r="I105" s="31">
        <v>0</v>
      </c>
      <c r="J105" s="31">
        <v>0</v>
      </c>
      <c r="K105" s="31">
        <v>15366.61</v>
      </c>
      <c r="L105" s="31">
        <v>0</v>
      </c>
      <c r="M105" s="33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147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f>ROUND(K105*1.5%,2)</f>
        <v>230.5</v>
      </c>
      <c r="AF105" s="31">
        <v>0</v>
      </c>
      <c r="AG105" s="31">
        <v>0</v>
      </c>
      <c r="AH105" s="142" t="s">
        <v>274</v>
      </c>
      <c r="AI105" s="142">
        <v>2020</v>
      </c>
      <c r="AJ105" s="142">
        <v>2020</v>
      </c>
    </row>
    <row r="106" spans="1:36" ht="61.5" x14ac:dyDescent="0.85">
      <c r="A106" s="6">
        <v>1</v>
      </c>
      <c r="B106" s="66">
        <f>SUBTOTAL(103,$A$66:A106)</f>
        <v>36</v>
      </c>
      <c r="C106" s="146" t="s">
        <v>1527</v>
      </c>
      <c r="D106" s="72" t="s">
        <v>1104</v>
      </c>
      <c r="E106" s="69">
        <v>0.88725132075072177</v>
      </c>
      <c r="F106" s="31">
        <f t="shared" si="24"/>
        <v>2167706.4899999998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3">
        <v>0</v>
      </c>
      <c r="N106" s="31">
        <v>0</v>
      </c>
      <c r="O106" s="31">
        <v>1600</v>
      </c>
      <c r="P106" s="31">
        <v>2135671.42</v>
      </c>
      <c r="Q106" s="31">
        <v>0</v>
      </c>
      <c r="R106" s="31">
        <v>0</v>
      </c>
      <c r="S106" s="31">
        <v>0</v>
      </c>
      <c r="T106" s="147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f t="shared" ref="AE106:AE108" si="32">ROUND(P106*1.5%,2)</f>
        <v>32035.07</v>
      </c>
      <c r="AF106" s="31">
        <v>0</v>
      </c>
      <c r="AG106" s="31">
        <v>0</v>
      </c>
      <c r="AH106" s="142" t="s">
        <v>274</v>
      </c>
      <c r="AI106" s="142">
        <v>2020</v>
      </c>
      <c r="AJ106" s="142">
        <v>2020</v>
      </c>
    </row>
    <row r="107" spans="1:36" ht="61.5" x14ac:dyDescent="0.85">
      <c r="A107" s="6">
        <v>1</v>
      </c>
      <c r="B107" s="66">
        <f>SUBTOTAL(103,$A$66:A107)</f>
        <v>37</v>
      </c>
      <c r="C107" s="146" t="s">
        <v>1528</v>
      </c>
      <c r="D107" s="72" t="s">
        <v>1104</v>
      </c>
      <c r="E107" s="69">
        <v>0.86073469797958557</v>
      </c>
      <c r="F107" s="31">
        <f t="shared" si="24"/>
        <v>510545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3">
        <v>0</v>
      </c>
      <c r="N107" s="31">
        <v>0</v>
      </c>
      <c r="O107" s="31">
        <v>824.88</v>
      </c>
      <c r="P107" s="31">
        <v>503000</v>
      </c>
      <c r="Q107" s="31">
        <v>0</v>
      </c>
      <c r="R107" s="31">
        <v>0</v>
      </c>
      <c r="S107" s="31">
        <v>0</v>
      </c>
      <c r="T107" s="147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f t="shared" si="32"/>
        <v>7545</v>
      </c>
      <c r="AF107" s="31">
        <v>0</v>
      </c>
      <c r="AG107" s="31">
        <v>0</v>
      </c>
      <c r="AH107" s="142" t="s">
        <v>274</v>
      </c>
      <c r="AI107" s="142">
        <v>2020</v>
      </c>
      <c r="AJ107" s="142">
        <v>2020</v>
      </c>
    </row>
    <row r="108" spans="1:36" ht="61.5" x14ac:dyDescent="0.85">
      <c r="A108" s="6">
        <v>1</v>
      </c>
      <c r="B108" s="66">
        <f>SUBTOTAL(103,$A$66:A108)</f>
        <v>38</v>
      </c>
      <c r="C108" s="146" t="s">
        <v>1529</v>
      </c>
      <c r="D108" s="91" t="s">
        <v>1103</v>
      </c>
      <c r="E108" s="69">
        <v>0.94940000000000002</v>
      </c>
      <c r="F108" s="31">
        <f t="shared" si="24"/>
        <v>468233.13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3">
        <v>0</v>
      </c>
      <c r="N108" s="31">
        <v>0</v>
      </c>
      <c r="O108" s="31">
        <v>477.6</v>
      </c>
      <c r="P108" s="31">
        <v>461313.43</v>
      </c>
      <c r="Q108" s="31">
        <v>0</v>
      </c>
      <c r="R108" s="31">
        <v>0</v>
      </c>
      <c r="S108" s="31">
        <v>0</v>
      </c>
      <c r="T108" s="147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f t="shared" si="32"/>
        <v>6919.7</v>
      </c>
      <c r="AF108" s="31">
        <v>0</v>
      </c>
      <c r="AG108" s="31">
        <v>0</v>
      </c>
      <c r="AH108" s="142" t="s">
        <v>274</v>
      </c>
      <c r="AI108" s="142">
        <v>2020</v>
      </c>
      <c r="AJ108" s="142">
        <v>2020</v>
      </c>
    </row>
    <row r="109" spans="1:36" ht="61.5" x14ac:dyDescent="0.85">
      <c r="A109" s="6">
        <v>1</v>
      </c>
      <c r="B109" s="66">
        <f>SUBTOTAL(103,$A$66:A109)</f>
        <v>39</v>
      </c>
      <c r="C109" s="146" t="s">
        <v>1530</v>
      </c>
      <c r="D109" s="91" t="s">
        <v>1108</v>
      </c>
      <c r="E109" s="69">
        <v>0.50380000000000003</v>
      </c>
      <c r="F109" s="31">
        <f t="shared" si="24"/>
        <v>450205.28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3">
        <v>0</v>
      </c>
      <c r="N109" s="31">
        <v>0</v>
      </c>
      <c r="O109" s="31">
        <v>1104</v>
      </c>
      <c r="P109" s="31">
        <v>443552</v>
      </c>
      <c r="Q109" s="31">
        <v>0</v>
      </c>
      <c r="R109" s="31">
        <v>0</v>
      </c>
      <c r="S109" s="31">
        <v>0</v>
      </c>
      <c r="T109" s="147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f>ROUND(P109*1.5%,2)</f>
        <v>6653.28</v>
      </c>
      <c r="AF109" s="31">
        <v>0</v>
      </c>
      <c r="AG109" s="31">
        <v>0</v>
      </c>
      <c r="AH109" s="142" t="s">
        <v>274</v>
      </c>
      <c r="AI109" s="142">
        <v>2020</v>
      </c>
      <c r="AJ109" s="142">
        <v>2020</v>
      </c>
    </row>
    <row r="110" spans="1:36" ht="61.5" x14ac:dyDescent="0.85">
      <c r="A110" s="6">
        <v>1</v>
      </c>
      <c r="B110" s="66">
        <f>SUBTOTAL(103,$A$66:A110)</f>
        <v>40</v>
      </c>
      <c r="C110" s="146" t="s">
        <v>1531</v>
      </c>
      <c r="D110" s="91" t="s">
        <v>1485</v>
      </c>
      <c r="E110" s="69">
        <v>0.97430000000000005</v>
      </c>
      <c r="F110" s="31">
        <f t="shared" si="24"/>
        <v>66602.679999999993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3">
        <v>0</v>
      </c>
      <c r="N110" s="31">
        <v>0</v>
      </c>
      <c r="O110" s="31">
        <v>775</v>
      </c>
      <c r="P110" s="31">
        <v>65618.399999999994</v>
      </c>
      <c r="Q110" s="31">
        <v>0</v>
      </c>
      <c r="R110" s="31">
        <v>0</v>
      </c>
      <c r="S110" s="31">
        <v>0</v>
      </c>
      <c r="T110" s="147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f>ROUND(P110*1.5%,2)</f>
        <v>984.28</v>
      </c>
      <c r="AF110" s="31">
        <v>0</v>
      </c>
      <c r="AG110" s="31">
        <v>0</v>
      </c>
      <c r="AH110" s="142" t="s">
        <v>274</v>
      </c>
      <c r="AI110" s="142">
        <v>2020</v>
      </c>
      <c r="AJ110" s="142">
        <v>2020</v>
      </c>
    </row>
    <row r="111" spans="1:36" ht="61.5" x14ac:dyDescent="0.85">
      <c r="A111" s="6">
        <v>1</v>
      </c>
      <c r="B111" s="66">
        <f>SUBTOTAL(103,$A$66:A111)</f>
        <v>41</v>
      </c>
      <c r="C111" s="146" t="s">
        <v>1532</v>
      </c>
      <c r="D111" s="91" t="s">
        <v>1104</v>
      </c>
      <c r="E111" s="69">
        <v>0.93600000000000005</v>
      </c>
      <c r="F111" s="31">
        <f t="shared" si="24"/>
        <v>1233225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3">
        <v>0</v>
      </c>
      <c r="N111" s="31">
        <v>0</v>
      </c>
      <c r="O111" s="31">
        <v>1110</v>
      </c>
      <c r="P111" s="31">
        <v>1215000</v>
      </c>
      <c r="Q111" s="31">
        <v>0</v>
      </c>
      <c r="R111" s="31">
        <v>0</v>
      </c>
      <c r="S111" s="31">
        <v>0</v>
      </c>
      <c r="T111" s="147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f>ROUND(P111*1.5%,2)</f>
        <v>18225</v>
      </c>
      <c r="AF111" s="31">
        <v>0</v>
      </c>
      <c r="AG111" s="31">
        <v>0</v>
      </c>
      <c r="AH111" s="142" t="s">
        <v>274</v>
      </c>
      <c r="AI111" s="142">
        <v>2020</v>
      </c>
      <c r="AJ111" s="142">
        <v>2020</v>
      </c>
    </row>
    <row r="112" spans="1:36" ht="61.5" x14ac:dyDescent="0.85">
      <c r="A112" s="6">
        <v>1</v>
      </c>
      <c r="B112" s="66">
        <f>SUBTOTAL(103,$A$66:A112)</f>
        <v>42</v>
      </c>
      <c r="C112" s="146" t="s">
        <v>1533</v>
      </c>
      <c r="D112" s="91" t="s">
        <v>1104</v>
      </c>
      <c r="E112" s="69">
        <v>0.91669999999999996</v>
      </c>
      <c r="F112" s="31">
        <f t="shared" si="24"/>
        <v>1389919.69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3">
        <v>0</v>
      </c>
      <c r="N112" s="31">
        <v>0</v>
      </c>
      <c r="O112" s="31">
        <v>1586.2</v>
      </c>
      <c r="P112" s="31">
        <v>1369379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f>ROUND(P112*1.5%,2)</f>
        <v>20540.689999999999</v>
      </c>
      <c r="AF112" s="31">
        <v>0</v>
      </c>
      <c r="AG112" s="31">
        <v>0</v>
      </c>
      <c r="AH112" s="142" t="s">
        <v>274</v>
      </c>
      <c r="AI112" s="142">
        <v>2020</v>
      </c>
      <c r="AJ112" s="142">
        <v>2020</v>
      </c>
    </row>
    <row r="113" spans="1:36" ht="61.5" x14ac:dyDescent="0.85">
      <c r="A113" s="6">
        <v>1</v>
      </c>
      <c r="B113" s="66">
        <f>SUBTOTAL(103,$A$66:A113)</f>
        <v>43</v>
      </c>
      <c r="C113" s="146" t="s">
        <v>1534</v>
      </c>
      <c r="D113" s="91" t="s">
        <v>1104</v>
      </c>
      <c r="E113" s="69">
        <v>0.87539999999999996</v>
      </c>
      <c r="F113" s="31">
        <f t="shared" si="24"/>
        <v>67681.820000000007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3">
        <v>0</v>
      </c>
      <c r="N113" s="31">
        <v>0</v>
      </c>
      <c r="O113" s="31">
        <v>711</v>
      </c>
      <c r="P113" s="31">
        <v>66681.600000000006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f>ROUND(P113*1.5%,2)</f>
        <v>1000.22</v>
      </c>
      <c r="AF113" s="31">
        <v>0</v>
      </c>
      <c r="AG113" s="31">
        <v>0</v>
      </c>
      <c r="AH113" s="142" t="s">
        <v>274</v>
      </c>
      <c r="AI113" s="142">
        <v>2020</v>
      </c>
      <c r="AJ113" s="142">
        <v>2020</v>
      </c>
    </row>
    <row r="114" spans="1:36" ht="61.5" x14ac:dyDescent="0.85">
      <c r="A114" s="6">
        <v>1</v>
      </c>
      <c r="B114" s="66">
        <f>SUBTOTAL(103,$A$66:A114)</f>
        <v>44</v>
      </c>
      <c r="C114" s="146" t="s">
        <v>1535</v>
      </c>
      <c r="D114" s="91" t="s">
        <v>1107</v>
      </c>
      <c r="E114" s="69">
        <v>0.86950000000000005</v>
      </c>
      <c r="F114" s="31">
        <f t="shared" si="24"/>
        <v>253750</v>
      </c>
      <c r="G114" s="31">
        <v>0</v>
      </c>
      <c r="H114" s="31">
        <v>0</v>
      </c>
      <c r="I114" s="31">
        <v>0</v>
      </c>
      <c r="J114" s="31">
        <v>0</v>
      </c>
      <c r="K114" s="31">
        <v>250000</v>
      </c>
      <c r="L114" s="31">
        <v>0</v>
      </c>
      <c r="M114" s="33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f>ROUND(K114*1.5%,2)</f>
        <v>3750</v>
      </c>
      <c r="AF114" s="31">
        <v>0</v>
      </c>
      <c r="AG114" s="31">
        <v>0</v>
      </c>
      <c r="AH114" s="142" t="s">
        <v>274</v>
      </c>
      <c r="AI114" s="142">
        <v>2020</v>
      </c>
      <c r="AJ114" s="142">
        <v>2020</v>
      </c>
    </row>
    <row r="115" spans="1:36" ht="61.5" x14ac:dyDescent="0.85">
      <c r="A115" s="6">
        <v>1</v>
      </c>
      <c r="B115" s="66">
        <f>SUBTOTAL(103,$A$66:A115)</f>
        <v>45</v>
      </c>
      <c r="C115" s="146" t="s">
        <v>1536</v>
      </c>
      <c r="D115" s="91" t="s">
        <v>1486</v>
      </c>
      <c r="E115" s="69">
        <v>0.94930000000000003</v>
      </c>
      <c r="F115" s="31">
        <f t="shared" si="24"/>
        <v>45611.35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3">
        <v>0</v>
      </c>
      <c r="N115" s="31">
        <v>0</v>
      </c>
      <c r="O115" s="31">
        <v>649.79999999999995</v>
      </c>
      <c r="P115" s="31">
        <v>44937.29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f>ROUND(P115*1.5%,2)</f>
        <v>674.06</v>
      </c>
      <c r="AF115" s="31">
        <v>0</v>
      </c>
      <c r="AG115" s="31">
        <v>0</v>
      </c>
      <c r="AH115" s="142" t="s">
        <v>274</v>
      </c>
      <c r="AI115" s="142">
        <v>2020</v>
      </c>
      <c r="AJ115" s="142">
        <v>2020</v>
      </c>
    </row>
    <row r="116" spans="1:36" ht="61.5" x14ac:dyDescent="0.85">
      <c r="A116" s="6">
        <v>1</v>
      </c>
      <c r="B116" s="66">
        <f>SUBTOTAL(103,$A$66:A116)</f>
        <v>46</v>
      </c>
      <c r="C116" s="146" t="s">
        <v>1537</v>
      </c>
      <c r="D116" s="91" t="s">
        <v>1104</v>
      </c>
      <c r="E116" s="69">
        <v>0.79333438101544396</v>
      </c>
      <c r="F116" s="31">
        <f t="shared" si="24"/>
        <v>1182149.27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3">
        <v>0</v>
      </c>
      <c r="N116" s="31">
        <v>0</v>
      </c>
      <c r="O116" s="31">
        <v>1265</v>
      </c>
      <c r="P116" s="31">
        <v>1164679.08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f>ROUND(P116*1.5%,2)</f>
        <v>17470.189999999999</v>
      </c>
      <c r="AF116" s="31">
        <v>0</v>
      </c>
      <c r="AG116" s="31">
        <v>0</v>
      </c>
      <c r="AH116" s="142" t="s">
        <v>274</v>
      </c>
      <c r="AI116" s="142">
        <v>2020</v>
      </c>
      <c r="AJ116" s="142">
        <v>2020</v>
      </c>
    </row>
    <row r="117" spans="1:36" ht="61.5" x14ac:dyDescent="0.85">
      <c r="A117" s="6">
        <v>1</v>
      </c>
      <c r="B117" s="66">
        <f>SUBTOTAL(103,$A$66:A117)</f>
        <v>47</v>
      </c>
      <c r="C117" s="146" t="s">
        <v>1538</v>
      </c>
      <c r="D117" s="91" t="s">
        <v>1108</v>
      </c>
      <c r="E117" s="69">
        <v>0.91920000000000002</v>
      </c>
      <c r="F117" s="31">
        <f t="shared" si="24"/>
        <v>212532.16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3">
        <v>0</v>
      </c>
      <c r="N117" s="31">
        <v>0</v>
      </c>
      <c r="O117" s="31">
        <v>1166</v>
      </c>
      <c r="P117" s="31">
        <v>209391.29</v>
      </c>
      <c r="Q117" s="31">
        <v>0</v>
      </c>
      <c r="R117" s="31">
        <v>0</v>
      </c>
      <c r="S117" s="31">
        <v>0</v>
      </c>
      <c r="T117" s="147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1">
        <f>ROUND(P117*1.5%,2)</f>
        <v>3140.87</v>
      </c>
      <c r="AF117" s="31">
        <v>0</v>
      </c>
      <c r="AG117" s="31">
        <v>0</v>
      </c>
      <c r="AH117" s="142" t="s">
        <v>274</v>
      </c>
      <c r="AI117" s="142">
        <v>2020</v>
      </c>
      <c r="AJ117" s="142">
        <v>2020</v>
      </c>
    </row>
    <row r="118" spans="1:36" ht="61.5" x14ac:dyDescent="0.85">
      <c r="A118" s="6">
        <v>1</v>
      </c>
      <c r="B118" s="66">
        <f>SUBTOTAL(103,$A$66:A118)</f>
        <v>48</v>
      </c>
      <c r="C118" s="146" t="s">
        <v>1539</v>
      </c>
      <c r="D118" s="91" t="s">
        <v>1104</v>
      </c>
      <c r="E118" s="69">
        <v>0.80210000000000004</v>
      </c>
      <c r="F118" s="31">
        <f t="shared" si="24"/>
        <v>69345.69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3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276.85000000000002</v>
      </c>
      <c r="T118" s="31">
        <v>68320.88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f>ROUND(T118*1.5%,2)</f>
        <v>1024.81</v>
      </c>
      <c r="AF118" s="31">
        <v>0</v>
      </c>
      <c r="AG118" s="31">
        <v>0</v>
      </c>
      <c r="AH118" s="142" t="s">
        <v>274</v>
      </c>
      <c r="AI118" s="142">
        <v>2020</v>
      </c>
      <c r="AJ118" s="142">
        <v>2020</v>
      </c>
    </row>
    <row r="119" spans="1:36" ht="61.5" x14ac:dyDescent="0.85">
      <c r="A119" s="6">
        <v>1</v>
      </c>
      <c r="B119" s="66">
        <f>SUBTOTAL(103,$A$66:A119)</f>
        <v>49</v>
      </c>
      <c r="C119" s="146" t="s">
        <v>1540</v>
      </c>
      <c r="D119" s="91" t="s">
        <v>1108</v>
      </c>
      <c r="E119" s="69">
        <v>0.67430000000000001</v>
      </c>
      <c r="F119" s="31">
        <f t="shared" si="24"/>
        <v>6902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3">
        <v>0</v>
      </c>
      <c r="N119" s="31">
        <v>0</v>
      </c>
      <c r="O119" s="31">
        <v>583</v>
      </c>
      <c r="P119" s="31">
        <v>6800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f>ROUND(P119*1.5%,2)</f>
        <v>102</v>
      </c>
      <c r="AF119" s="31">
        <v>0</v>
      </c>
      <c r="AG119" s="31">
        <v>0</v>
      </c>
      <c r="AH119" s="142" t="s">
        <v>274</v>
      </c>
      <c r="AI119" s="142">
        <v>2020</v>
      </c>
      <c r="AJ119" s="142">
        <v>2020</v>
      </c>
    </row>
    <row r="120" spans="1:36" ht="61.5" x14ac:dyDescent="0.85">
      <c r="A120" s="6">
        <v>1</v>
      </c>
      <c r="B120" s="66">
        <f>SUBTOTAL(103,$A$66:A120)</f>
        <v>50</v>
      </c>
      <c r="C120" s="146" t="s">
        <v>1541</v>
      </c>
      <c r="D120" s="91" t="s">
        <v>1492</v>
      </c>
      <c r="E120" s="69">
        <v>0.90800000000000003</v>
      </c>
      <c r="F120" s="31">
        <f t="shared" si="24"/>
        <v>7622.65</v>
      </c>
      <c r="G120" s="31">
        <v>7510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3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f>ROUND(G120*1.5%,2)</f>
        <v>112.65</v>
      </c>
      <c r="AF120" s="31">
        <v>0</v>
      </c>
      <c r="AG120" s="31">
        <v>0</v>
      </c>
      <c r="AH120" s="142" t="s">
        <v>274</v>
      </c>
      <c r="AI120" s="142">
        <v>2020</v>
      </c>
      <c r="AJ120" s="142">
        <v>2020</v>
      </c>
    </row>
    <row r="121" spans="1:36" ht="61.5" x14ac:dyDescent="0.85">
      <c r="A121" s="6">
        <v>1</v>
      </c>
      <c r="B121" s="66">
        <f>SUBTOTAL(103,$A$66:A121)</f>
        <v>51</v>
      </c>
      <c r="C121" s="146" t="s">
        <v>1542</v>
      </c>
      <c r="D121" s="91" t="s">
        <v>1105</v>
      </c>
      <c r="E121" s="69">
        <v>0.98829999999999996</v>
      </c>
      <c r="F121" s="31">
        <f t="shared" si="24"/>
        <v>52780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3">
        <v>0</v>
      </c>
      <c r="N121" s="31">
        <v>0</v>
      </c>
      <c r="O121" s="31">
        <v>284.39999999999998</v>
      </c>
      <c r="P121" s="31">
        <v>52000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f>ROUND(P121*1.5%,2)</f>
        <v>780</v>
      </c>
      <c r="AF121" s="31">
        <v>0</v>
      </c>
      <c r="AG121" s="31">
        <v>0</v>
      </c>
      <c r="AH121" s="142" t="s">
        <v>274</v>
      </c>
      <c r="AI121" s="142">
        <v>2020</v>
      </c>
      <c r="AJ121" s="142">
        <v>2020</v>
      </c>
    </row>
    <row r="122" spans="1:36" ht="61.5" x14ac:dyDescent="0.85">
      <c r="A122" s="6">
        <v>1</v>
      </c>
      <c r="B122" s="66">
        <f>SUBTOTAL(103,$A$66:A122)</f>
        <v>52</v>
      </c>
      <c r="C122" s="146" t="s">
        <v>1543</v>
      </c>
      <c r="D122" s="91" t="s">
        <v>1104</v>
      </c>
      <c r="E122" s="69">
        <v>0.86109999999999998</v>
      </c>
      <c r="F122" s="31">
        <f t="shared" si="24"/>
        <v>209078.37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3">
        <v>0</v>
      </c>
      <c r="N122" s="31">
        <v>0</v>
      </c>
      <c r="O122" s="31">
        <v>1539</v>
      </c>
      <c r="P122" s="31">
        <v>205988.54</v>
      </c>
      <c r="Q122" s="31">
        <v>0</v>
      </c>
      <c r="R122" s="31">
        <v>0</v>
      </c>
      <c r="S122" s="31">
        <v>0</v>
      </c>
      <c r="T122" s="147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f>ROUND(P122*1.5%,2)</f>
        <v>3089.83</v>
      </c>
      <c r="AF122" s="31">
        <v>0</v>
      </c>
      <c r="AG122" s="31">
        <v>0</v>
      </c>
      <c r="AH122" s="142" t="s">
        <v>274</v>
      </c>
      <c r="AI122" s="142">
        <v>2020</v>
      </c>
      <c r="AJ122" s="142">
        <v>2020</v>
      </c>
    </row>
    <row r="123" spans="1:36" ht="61.5" x14ac:dyDescent="0.85">
      <c r="A123" s="6">
        <v>1</v>
      </c>
      <c r="B123" s="66">
        <f>SUBTOTAL(103,$A$66:A123)</f>
        <v>53</v>
      </c>
      <c r="C123" s="146" t="s">
        <v>1544</v>
      </c>
      <c r="D123" s="91" t="s">
        <v>1486</v>
      </c>
      <c r="E123" s="69">
        <v>0.85870000000000002</v>
      </c>
      <c r="F123" s="31">
        <f t="shared" si="24"/>
        <v>793266.22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3">
        <v>0</v>
      </c>
      <c r="N123" s="31">
        <v>0</v>
      </c>
      <c r="O123" s="31">
        <v>748</v>
      </c>
      <c r="P123" s="31">
        <v>781543.07</v>
      </c>
      <c r="Q123" s="31">
        <v>0</v>
      </c>
      <c r="R123" s="31">
        <v>0</v>
      </c>
      <c r="S123" s="31">
        <v>0</v>
      </c>
      <c r="T123" s="147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f>ROUND(P123*1.5%,2)</f>
        <v>11723.15</v>
      </c>
      <c r="AF123" s="31">
        <v>0</v>
      </c>
      <c r="AG123" s="31">
        <v>0</v>
      </c>
      <c r="AH123" s="142" t="s">
        <v>274</v>
      </c>
      <c r="AI123" s="142">
        <v>2020</v>
      </c>
      <c r="AJ123" s="142">
        <v>2020</v>
      </c>
    </row>
    <row r="124" spans="1:36" ht="61.5" x14ac:dyDescent="0.85">
      <c r="A124" s="6">
        <v>1</v>
      </c>
      <c r="B124" s="66">
        <f>SUBTOTAL(103,$A$66:A124)</f>
        <v>54</v>
      </c>
      <c r="C124" s="146" t="s">
        <v>1545</v>
      </c>
      <c r="D124" s="91" t="s">
        <v>1485</v>
      </c>
      <c r="E124" s="69">
        <v>0.9476</v>
      </c>
      <c r="F124" s="31">
        <f t="shared" si="24"/>
        <v>45260.939999999995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3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174</v>
      </c>
      <c r="T124" s="147">
        <v>44592.06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f>ROUND(T124*1.5%,2)</f>
        <v>668.88</v>
      </c>
      <c r="AF124" s="31">
        <v>0</v>
      </c>
      <c r="AG124" s="31">
        <v>0</v>
      </c>
      <c r="AH124" s="142" t="s">
        <v>274</v>
      </c>
      <c r="AI124" s="142">
        <v>2020</v>
      </c>
      <c r="AJ124" s="142">
        <v>2020</v>
      </c>
    </row>
    <row r="125" spans="1:36" ht="61.5" x14ac:dyDescent="0.85">
      <c r="A125" s="6">
        <v>1</v>
      </c>
      <c r="B125" s="66">
        <f>SUBTOTAL(103,$A$66:A125)</f>
        <v>55</v>
      </c>
      <c r="C125" s="146" t="s">
        <v>1546</v>
      </c>
      <c r="D125" s="91" t="s">
        <v>1104</v>
      </c>
      <c r="E125" s="69">
        <v>0.94679999999999997</v>
      </c>
      <c r="F125" s="31">
        <f t="shared" si="24"/>
        <v>41021.47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3">
        <v>0</v>
      </c>
      <c r="N125" s="31">
        <v>0</v>
      </c>
      <c r="O125" s="31">
        <v>289.66000000000003</v>
      </c>
      <c r="P125" s="31">
        <v>40415.24</v>
      </c>
      <c r="Q125" s="31">
        <v>0</v>
      </c>
      <c r="R125" s="31">
        <v>0</v>
      </c>
      <c r="S125" s="31">
        <v>0</v>
      </c>
      <c r="T125" s="147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f>ROUND(P125*1.5%,2)</f>
        <v>606.23</v>
      </c>
      <c r="AF125" s="31">
        <v>0</v>
      </c>
      <c r="AG125" s="31">
        <v>0</v>
      </c>
      <c r="AH125" s="142" t="s">
        <v>274</v>
      </c>
      <c r="AI125" s="142">
        <v>2020</v>
      </c>
      <c r="AJ125" s="142">
        <v>2020</v>
      </c>
    </row>
    <row r="126" spans="1:36" ht="61.5" x14ac:dyDescent="0.85">
      <c r="A126" s="6">
        <v>1</v>
      </c>
      <c r="B126" s="66">
        <f>SUBTOTAL(103,$A$66:A126)</f>
        <v>56</v>
      </c>
      <c r="C126" s="146" t="s">
        <v>1547</v>
      </c>
      <c r="D126" s="91" t="s">
        <v>1104</v>
      </c>
      <c r="E126" s="69">
        <v>0.92569999999999997</v>
      </c>
      <c r="F126" s="31">
        <f t="shared" si="24"/>
        <v>504846.64999999997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3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3007.6</v>
      </c>
      <c r="T126" s="147">
        <v>497385.86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f>ROUND(T126*1.5%,2)</f>
        <v>7460.79</v>
      </c>
      <c r="AF126" s="31">
        <v>0</v>
      </c>
      <c r="AG126" s="31">
        <v>0</v>
      </c>
      <c r="AH126" s="142" t="s">
        <v>274</v>
      </c>
      <c r="AI126" s="142">
        <v>2020</v>
      </c>
      <c r="AJ126" s="142">
        <v>2020</v>
      </c>
    </row>
    <row r="127" spans="1:36" ht="61.5" x14ac:dyDescent="0.85">
      <c r="A127" s="6">
        <v>1</v>
      </c>
      <c r="B127" s="66">
        <f>SUBTOTAL(103,$A$66:A127)</f>
        <v>57</v>
      </c>
      <c r="C127" s="146" t="s">
        <v>1548</v>
      </c>
      <c r="D127" s="91" t="s">
        <v>1104</v>
      </c>
      <c r="E127" s="69">
        <v>0.70989999999999998</v>
      </c>
      <c r="F127" s="31">
        <f t="shared" si="24"/>
        <v>545501.27</v>
      </c>
      <c r="G127" s="31">
        <v>0</v>
      </c>
      <c r="H127" s="31">
        <v>0</v>
      </c>
      <c r="I127" s="31">
        <v>537439.67000000004</v>
      </c>
      <c r="J127" s="31">
        <v>0</v>
      </c>
      <c r="K127" s="31">
        <v>0</v>
      </c>
      <c r="L127" s="31">
        <v>0</v>
      </c>
      <c r="M127" s="33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147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f>ROUND(I127*1.5%,2)</f>
        <v>8061.6</v>
      </c>
      <c r="AF127" s="31">
        <v>0</v>
      </c>
      <c r="AG127" s="31">
        <v>0</v>
      </c>
      <c r="AH127" s="142" t="s">
        <v>274</v>
      </c>
      <c r="AI127" s="142">
        <v>2020</v>
      </c>
      <c r="AJ127" s="142">
        <v>2020</v>
      </c>
    </row>
    <row r="128" spans="1:36" ht="61.5" x14ac:dyDescent="0.85">
      <c r="A128" s="6">
        <v>1</v>
      </c>
      <c r="B128" s="66">
        <f>SUBTOTAL(103,$A$66:A128)</f>
        <v>58</v>
      </c>
      <c r="C128" s="146" t="s">
        <v>1591</v>
      </c>
      <c r="D128" s="91" t="s">
        <v>1109</v>
      </c>
      <c r="E128" s="69">
        <v>0.80649999999999999</v>
      </c>
      <c r="F128" s="31">
        <f t="shared" si="24"/>
        <v>52491.74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3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1676</v>
      </c>
      <c r="T128" s="147">
        <v>51716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f>ROUND(T128*1.5%,2)</f>
        <v>775.74</v>
      </c>
      <c r="AF128" s="31">
        <v>0</v>
      </c>
      <c r="AG128" s="31">
        <v>0</v>
      </c>
      <c r="AH128" s="142" t="s">
        <v>274</v>
      </c>
      <c r="AI128" s="142">
        <v>2020</v>
      </c>
      <c r="AJ128" s="142">
        <v>2020</v>
      </c>
    </row>
    <row r="129" spans="1:36" ht="61.5" x14ac:dyDescent="0.85">
      <c r="A129" s="6">
        <v>1</v>
      </c>
      <c r="B129" s="66">
        <f>SUBTOTAL(103,$A$66:A129)</f>
        <v>59</v>
      </c>
      <c r="C129" s="146" t="s">
        <v>1592</v>
      </c>
      <c r="D129" s="91" t="s">
        <v>1486</v>
      </c>
      <c r="E129" s="69">
        <v>0.79520000000000002</v>
      </c>
      <c r="F129" s="31">
        <f t="shared" si="24"/>
        <v>81764.34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3">
        <v>0</v>
      </c>
      <c r="N129" s="31">
        <v>0</v>
      </c>
      <c r="O129" s="31">
        <v>352</v>
      </c>
      <c r="P129" s="31">
        <v>80556</v>
      </c>
      <c r="Q129" s="31">
        <v>0</v>
      </c>
      <c r="R129" s="31">
        <v>0</v>
      </c>
      <c r="S129" s="31">
        <v>0</v>
      </c>
      <c r="T129" s="147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f>ROUND(P129*1.5%,2)</f>
        <v>1208.3399999999999</v>
      </c>
      <c r="AF129" s="31">
        <v>0</v>
      </c>
      <c r="AG129" s="31">
        <v>0</v>
      </c>
      <c r="AH129" s="142" t="s">
        <v>274</v>
      </c>
      <c r="AI129" s="142">
        <v>2020</v>
      </c>
      <c r="AJ129" s="142">
        <v>2020</v>
      </c>
    </row>
    <row r="130" spans="1:36" ht="61.5" x14ac:dyDescent="0.85">
      <c r="A130" s="6">
        <v>1</v>
      </c>
      <c r="B130" s="66">
        <f>SUBTOTAL(103,$A$66:A130)</f>
        <v>60</v>
      </c>
      <c r="C130" s="146" t="s">
        <v>1593</v>
      </c>
      <c r="D130" s="91" t="s">
        <v>1104</v>
      </c>
      <c r="E130" s="69">
        <v>0.76160000000000005</v>
      </c>
      <c r="F130" s="31">
        <f t="shared" si="24"/>
        <v>7612.5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3">
        <v>0</v>
      </c>
      <c r="N130" s="31">
        <v>0</v>
      </c>
      <c r="O130" s="31">
        <v>910</v>
      </c>
      <c r="P130" s="31">
        <v>7500</v>
      </c>
      <c r="Q130" s="31">
        <v>0</v>
      </c>
      <c r="R130" s="31">
        <v>0</v>
      </c>
      <c r="S130" s="31">
        <v>0</v>
      </c>
      <c r="T130" s="147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1">
        <f>ROUND(P130*1.5%,2)</f>
        <v>112.5</v>
      </c>
      <c r="AF130" s="31">
        <v>0</v>
      </c>
      <c r="AG130" s="31">
        <v>0</v>
      </c>
      <c r="AH130" s="142" t="s">
        <v>274</v>
      </c>
      <c r="AI130" s="142">
        <v>2020</v>
      </c>
      <c r="AJ130" s="142">
        <v>2020</v>
      </c>
    </row>
    <row r="131" spans="1:36" ht="62.25" x14ac:dyDescent="0.9">
      <c r="B131" s="143" t="s">
        <v>1493</v>
      </c>
      <c r="C131" s="144"/>
      <c r="D131" s="145" t="s">
        <v>934</v>
      </c>
      <c r="E131" s="69">
        <f>AVERAGE(E132:E144)</f>
        <v>0.90999367877984549</v>
      </c>
      <c r="F131" s="31">
        <f>SUM(F132:F144)</f>
        <v>6084746.6499999994</v>
      </c>
      <c r="G131" s="31">
        <f t="shared" ref="G131:AG131" si="33">SUM(G132:G144)</f>
        <v>0</v>
      </c>
      <c r="H131" s="31">
        <f t="shared" si="33"/>
        <v>0</v>
      </c>
      <c r="I131" s="31">
        <f t="shared" si="33"/>
        <v>0</v>
      </c>
      <c r="J131" s="31">
        <f t="shared" si="33"/>
        <v>0</v>
      </c>
      <c r="K131" s="31">
        <f t="shared" si="33"/>
        <v>0</v>
      </c>
      <c r="L131" s="31">
        <f t="shared" si="33"/>
        <v>0</v>
      </c>
      <c r="M131" s="33">
        <f t="shared" si="33"/>
        <v>0</v>
      </c>
      <c r="N131" s="31">
        <f t="shared" si="33"/>
        <v>0</v>
      </c>
      <c r="O131" s="31">
        <f t="shared" si="33"/>
        <v>12302</v>
      </c>
      <c r="P131" s="31">
        <f t="shared" si="33"/>
        <v>5909817.25</v>
      </c>
      <c r="Q131" s="31">
        <f t="shared" si="33"/>
        <v>0</v>
      </c>
      <c r="R131" s="31">
        <f t="shared" si="33"/>
        <v>0</v>
      </c>
      <c r="S131" s="31">
        <f t="shared" si="33"/>
        <v>0</v>
      </c>
      <c r="T131" s="31">
        <f t="shared" si="33"/>
        <v>0</v>
      </c>
      <c r="U131" s="31">
        <f t="shared" si="33"/>
        <v>0</v>
      </c>
      <c r="V131" s="31">
        <f t="shared" si="33"/>
        <v>0</v>
      </c>
      <c r="W131" s="31">
        <f t="shared" si="33"/>
        <v>0</v>
      </c>
      <c r="X131" s="31">
        <f t="shared" si="33"/>
        <v>85007</v>
      </c>
      <c r="Y131" s="31">
        <f t="shared" si="33"/>
        <v>0</v>
      </c>
      <c r="Z131" s="31">
        <f t="shared" si="33"/>
        <v>0</v>
      </c>
      <c r="AA131" s="31">
        <f t="shared" si="33"/>
        <v>0</v>
      </c>
      <c r="AB131" s="31">
        <f t="shared" si="33"/>
        <v>0</v>
      </c>
      <c r="AC131" s="31">
        <f t="shared" si="33"/>
        <v>0</v>
      </c>
      <c r="AD131" s="31">
        <f t="shared" si="33"/>
        <v>0</v>
      </c>
      <c r="AE131" s="31">
        <f t="shared" si="33"/>
        <v>89922.4</v>
      </c>
      <c r="AF131" s="31">
        <f t="shared" si="33"/>
        <v>0</v>
      </c>
      <c r="AG131" s="31">
        <f t="shared" si="33"/>
        <v>0</v>
      </c>
      <c r="AH131" s="142" t="s">
        <v>934</v>
      </c>
      <c r="AI131" s="142" t="s">
        <v>934</v>
      </c>
      <c r="AJ131" s="142" t="s">
        <v>934</v>
      </c>
    </row>
    <row r="132" spans="1:36" ht="61.5" x14ac:dyDescent="0.85">
      <c r="A132" s="6">
        <v>1</v>
      </c>
      <c r="B132" s="66">
        <f>SUBTOTAL(103,$A$66:A132)</f>
        <v>61</v>
      </c>
      <c r="C132" s="146" t="s">
        <v>1549</v>
      </c>
      <c r="D132" s="91" t="s">
        <v>1488</v>
      </c>
      <c r="E132" s="69">
        <v>0.95770131483230581</v>
      </c>
      <c r="F132" s="31">
        <f t="shared" si="24"/>
        <v>1877040.31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3">
        <v>0</v>
      </c>
      <c r="N132" s="31">
        <v>0</v>
      </c>
      <c r="O132" s="31">
        <v>2039</v>
      </c>
      <c r="P132" s="31">
        <v>1849300.8</v>
      </c>
      <c r="Q132" s="31">
        <v>0</v>
      </c>
      <c r="R132" s="31">
        <v>0</v>
      </c>
      <c r="S132" s="31">
        <v>0</v>
      </c>
      <c r="T132" s="147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f>ROUND(P132*1.5%,2)</f>
        <v>27739.51</v>
      </c>
      <c r="AF132" s="31">
        <v>0</v>
      </c>
      <c r="AG132" s="31">
        <v>0</v>
      </c>
      <c r="AH132" s="142" t="s">
        <v>274</v>
      </c>
      <c r="AI132" s="142">
        <v>2020</v>
      </c>
      <c r="AJ132" s="142">
        <v>2020</v>
      </c>
    </row>
    <row r="133" spans="1:36" ht="61.5" x14ac:dyDescent="0.85">
      <c r="A133" s="6">
        <v>1</v>
      </c>
      <c r="B133" s="66">
        <f>SUBTOTAL(103,$A$66:A133)</f>
        <v>62</v>
      </c>
      <c r="C133" s="146" t="s">
        <v>1550</v>
      </c>
      <c r="D133" s="91" t="s">
        <v>1486</v>
      </c>
      <c r="E133" s="69">
        <v>0.91669999999999996</v>
      </c>
      <c r="F133" s="31">
        <f t="shared" si="24"/>
        <v>293340.08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3">
        <v>0</v>
      </c>
      <c r="N133" s="31">
        <v>0</v>
      </c>
      <c r="O133" s="31">
        <v>1135</v>
      </c>
      <c r="P133" s="31">
        <v>289005</v>
      </c>
      <c r="Q133" s="31">
        <v>0</v>
      </c>
      <c r="R133" s="31">
        <v>0</v>
      </c>
      <c r="S133" s="31">
        <v>0</v>
      </c>
      <c r="T133" s="147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f t="shared" ref="AE133:AE143" si="34">ROUND(P133*1.5%,2)</f>
        <v>4335.08</v>
      </c>
      <c r="AF133" s="31">
        <v>0</v>
      </c>
      <c r="AG133" s="31">
        <v>0</v>
      </c>
      <c r="AH133" s="142" t="s">
        <v>274</v>
      </c>
      <c r="AI133" s="142">
        <v>2020</v>
      </c>
      <c r="AJ133" s="142">
        <v>2020</v>
      </c>
    </row>
    <row r="134" spans="1:36" ht="61.5" x14ac:dyDescent="0.85">
      <c r="A134" s="6">
        <v>1</v>
      </c>
      <c r="B134" s="66">
        <f>SUBTOTAL(103,$A$66:A134)</f>
        <v>63</v>
      </c>
      <c r="C134" s="146" t="s">
        <v>1551</v>
      </c>
      <c r="D134" s="91" t="s">
        <v>1103</v>
      </c>
      <c r="E134" s="69">
        <v>0.98309999999999997</v>
      </c>
      <c r="F134" s="31">
        <f t="shared" si="24"/>
        <v>35169.75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3">
        <v>0</v>
      </c>
      <c r="N134" s="31">
        <v>0</v>
      </c>
      <c r="O134" s="31">
        <v>1845</v>
      </c>
      <c r="P134" s="31">
        <v>34650</v>
      </c>
      <c r="Q134" s="31">
        <v>0</v>
      </c>
      <c r="R134" s="31">
        <v>0</v>
      </c>
      <c r="S134" s="31">
        <v>0</v>
      </c>
      <c r="T134" s="147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f t="shared" si="34"/>
        <v>519.75</v>
      </c>
      <c r="AF134" s="31">
        <v>0</v>
      </c>
      <c r="AG134" s="31">
        <v>0</v>
      </c>
      <c r="AH134" s="142" t="s">
        <v>274</v>
      </c>
      <c r="AI134" s="142">
        <v>2020</v>
      </c>
      <c r="AJ134" s="142">
        <v>2020</v>
      </c>
    </row>
    <row r="135" spans="1:36" ht="61.5" x14ac:dyDescent="0.85">
      <c r="A135" s="6">
        <v>1</v>
      </c>
      <c r="B135" s="66">
        <f>SUBTOTAL(103,$A$66:A135)</f>
        <v>64</v>
      </c>
      <c r="C135" s="146" t="s">
        <v>1552</v>
      </c>
      <c r="D135" s="91" t="s">
        <v>1105</v>
      </c>
      <c r="E135" s="69">
        <v>0.9163</v>
      </c>
      <c r="F135" s="31">
        <f t="shared" si="24"/>
        <v>104524.7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3">
        <v>0</v>
      </c>
      <c r="N135" s="31">
        <v>0</v>
      </c>
      <c r="O135" s="31">
        <v>736</v>
      </c>
      <c r="P135" s="31">
        <v>102980</v>
      </c>
      <c r="Q135" s="31">
        <v>0</v>
      </c>
      <c r="R135" s="31">
        <v>0</v>
      </c>
      <c r="S135" s="31">
        <v>0</v>
      </c>
      <c r="T135" s="147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f t="shared" si="34"/>
        <v>1544.7</v>
      </c>
      <c r="AF135" s="31">
        <v>0</v>
      </c>
      <c r="AG135" s="31">
        <v>0</v>
      </c>
      <c r="AH135" s="142" t="s">
        <v>274</v>
      </c>
      <c r="AI135" s="142">
        <v>2020</v>
      </c>
      <c r="AJ135" s="142">
        <v>2020</v>
      </c>
    </row>
    <row r="136" spans="1:36" ht="61.5" x14ac:dyDescent="0.85">
      <c r="A136" s="6">
        <v>1</v>
      </c>
      <c r="B136" s="66">
        <f>SUBTOTAL(103,$A$66:A136)</f>
        <v>65</v>
      </c>
      <c r="C136" s="146" t="s">
        <v>1553</v>
      </c>
      <c r="D136" s="91" t="s">
        <v>1105</v>
      </c>
      <c r="E136" s="69">
        <v>0.88370000000000004</v>
      </c>
      <c r="F136" s="31">
        <f t="shared" si="24"/>
        <v>123830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3">
        <v>0</v>
      </c>
      <c r="N136" s="31">
        <v>0</v>
      </c>
      <c r="O136" s="31">
        <v>518</v>
      </c>
      <c r="P136" s="31">
        <v>122000</v>
      </c>
      <c r="Q136" s="31">
        <v>0</v>
      </c>
      <c r="R136" s="31">
        <v>0</v>
      </c>
      <c r="S136" s="31">
        <v>0</v>
      </c>
      <c r="T136" s="147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f t="shared" si="34"/>
        <v>1830</v>
      </c>
      <c r="AF136" s="31">
        <v>0</v>
      </c>
      <c r="AG136" s="31">
        <v>0</v>
      </c>
      <c r="AH136" s="142" t="s">
        <v>274</v>
      </c>
      <c r="AI136" s="142">
        <v>2020</v>
      </c>
      <c r="AJ136" s="142">
        <v>2020</v>
      </c>
    </row>
    <row r="137" spans="1:36" ht="61.5" x14ac:dyDescent="0.85">
      <c r="A137" s="6">
        <v>1</v>
      </c>
      <c r="B137" s="66">
        <f>SUBTOTAL(103,$A$66:A137)</f>
        <v>66</v>
      </c>
      <c r="C137" s="146" t="s">
        <v>1554</v>
      </c>
      <c r="D137" s="91" t="s">
        <v>1105</v>
      </c>
      <c r="E137" s="69">
        <v>1.000675491846317</v>
      </c>
      <c r="F137" s="31">
        <f t="shared" si="24"/>
        <v>1697748.89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3">
        <v>0</v>
      </c>
      <c r="N137" s="31">
        <v>0</v>
      </c>
      <c r="O137" s="31">
        <v>1238</v>
      </c>
      <c r="P137" s="31">
        <v>1672659</v>
      </c>
      <c r="Q137" s="31">
        <v>0</v>
      </c>
      <c r="R137" s="31">
        <v>0</v>
      </c>
      <c r="S137" s="31">
        <v>0</v>
      </c>
      <c r="T137" s="147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f t="shared" si="34"/>
        <v>25089.89</v>
      </c>
      <c r="AF137" s="31">
        <v>0</v>
      </c>
      <c r="AG137" s="31">
        <v>0</v>
      </c>
      <c r="AH137" s="142" t="s">
        <v>274</v>
      </c>
      <c r="AI137" s="142">
        <v>2020</v>
      </c>
      <c r="AJ137" s="142">
        <v>2020</v>
      </c>
    </row>
    <row r="138" spans="1:36" ht="61.5" x14ac:dyDescent="0.85">
      <c r="A138" s="6">
        <v>1</v>
      </c>
      <c r="B138" s="66">
        <f>SUBTOTAL(103,$A$66:A138)</f>
        <v>67</v>
      </c>
      <c r="C138" s="146" t="s">
        <v>1555</v>
      </c>
      <c r="D138" s="91" t="s">
        <v>1103</v>
      </c>
      <c r="E138" s="69">
        <v>0.80026822300653366</v>
      </c>
      <c r="F138" s="31">
        <f t="shared" si="24"/>
        <v>184374.75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3">
        <v>0</v>
      </c>
      <c r="N138" s="31">
        <v>0</v>
      </c>
      <c r="O138" s="31">
        <v>668</v>
      </c>
      <c r="P138" s="31">
        <v>181650</v>
      </c>
      <c r="Q138" s="31">
        <v>0</v>
      </c>
      <c r="R138" s="31">
        <v>0</v>
      </c>
      <c r="S138" s="31">
        <v>0</v>
      </c>
      <c r="T138" s="147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f t="shared" si="34"/>
        <v>2724.75</v>
      </c>
      <c r="AF138" s="31">
        <v>0</v>
      </c>
      <c r="AG138" s="31">
        <v>0</v>
      </c>
      <c r="AH138" s="142" t="s">
        <v>274</v>
      </c>
      <c r="AI138" s="142">
        <v>2020</v>
      </c>
      <c r="AJ138" s="142">
        <v>2020</v>
      </c>
    </row>
    <row r="139" spans="1:36" ht="61.5" x14ac:dyDescent="0.85">
      <c r="A139" s="6">
        <v>1</v>
      </c>
      <c r="B139" s="66">
        <f>SUBTOTAL(103,$A$66:A139)</f>
        <v>68</v>
      </c>
      <c r="C139" s="146" t="s">
        <v>1556</v>
      </c>
      <c r="D139" s="91" t="s">
        <v>1103</v>
      </c>
      <c r="E139" s="69">
        <v>0.92587279445283599</v>
      </c>
      <c r="F139" s="31">
        <f t="shared" si="24"/>
        <v>37984.35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3">
        <v>0</v>
      </c>
      <c r="N139" s="31">
        <v>0</v>
      </c>
      <c r="O139" s="31">
        <v>559</v>
      </c>
      <c r="P139" s="31">
        <v>37423</v>
      </c>
      <c r="Q139" s="31">
        <v>0</v>
      </c>
      <c r="R139" s="31">
        <v>0</v>
      </c>
      <c r="S139" s="31">
        <v>0</v>
      </c>
      <c r="T139" s="147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f t="shared" si="34"/>
        <v>561.35</v>
      </c>
      <c r="AF139" s="31">
        <v>0</v>
      </c>
      <c r="AG139" s="31">
        <v>0</v>
      </c>
      <c r="AH139" s="142" t="s">
        <v>274</v>
      </c>
      <c r="AI139" s="142">
        <v>2020</v>
      </c>
      <c r="AJ139" s="142">
        <v>2020</v>
      </c>
    </row>
    <row r="140" spans="1:36" ht="61.5" x14ac:dyDescent="0.85">
      <c r="A140" s="6">
        <v>1</v>
      </c>
      <c r="B140" s="66">
        <f>SUBTOTAL(103,$A$66:A140)</f>
        <v>69</v>
      </c>
      <c r="C140" s="146" t="s">
        <v>1557</v>
      </c>
      <c r="D140" s="91" t="s">
        <v>1494</v>
      </c>
      <c r="E140" s="69">
        <v>0.87360000000000004</v>
      </c>
      <c r="F140" s="31">
        <f t="shared" si="24"/>
        <v>1197776.18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3">
        <v>0</v>
      </c>
      <c r="N140" s="31">
        <v>0</v>
      </c>
      <c r="O140" s="31">
        <v>1549</v>
      </c>
      <c r="P140" s="31">
        <v>1180075.05</v>
      </c>
      <c r="Q140" s="31">
        <v>0</v>
      </c>
      <c r="R140" s="31">
        <v>0</v>
      </c>
      <c r="S140" s="31">
        <v>0</v>
      </c>
      <c r="T140" s="147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f t="shared" si="34"/>
        <v>17701.13</v>
      </c>
      <c r="AF140" s="31">
        <v>0</v>
      </c>
      <c r="AG140" s="31">
        <v>0</v>
      </c>
      <c r="AH140" s="142" t="s">
        <v>274</v>
      </c>
      <c r="AI140" s="142">
        <v>2020</v>
      </c>
      <c r="AJ140" s="142">
        <v>2020</v>
      </c>
    </row>
    <row r="141" spans="1:36" ht="61.5" x14ac:dyDescent="0.85">
      <c r="A141" s="6">
        <v>1</v>
      </c>
      <c r="B141" s="66">
        <f>SUBTOTAL(103,$A$66:A141)</f>
        <v>70</v>
      </c>
      <c r="C141" s="146" t="s">
        <v>1558</v>
      </c>
      <c r="D141" s="91" t="s">
        <v>1105</v>
      </c>
      <c r="E141" s="69">
        <v>0.78059999999999996</v>
      </c>
      <c r="F141" s="31">
        <f t="shared" si="24"/>
        <v>69473.710000000006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3">
        <v>0</v>
      </c>
      <c r="N141" s="31">
        <v>0</v>
      </c>
      <c r="O141" s="31">
        <v>450</v>
      </c>
      <c r="P141" s="31">
        <v>68447</v>
      </c>
      <c r="Q141" s="31">
        <v>0</v>
      </c>
      <c r="R141" s="31">
        <v>0</v>
      </c>
      <c r="S141" s="31">
        <v>0</v>
      </c>
      <c r="T141" s="147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f t="shared" si="34"/>
        <v>1026.71</v>
      </c>
      <c r="AF141" s="31">
        <v>0</v>
      </c>
      <c r="AG141" s="31">
        <v>0</v>
      </c>
      <c r="AH141" s="142" t="s">
        <v>274</v>
      </c>
      <c r="AI141" s="142">
        <v>2020</v>
      </c>
      <c r="AJ141" s="142">
        <v>2020</v>
      </c>
    </row>
    <row r="142" spans="1:36" ht="61.5" x14ac:dyDescent="0.85">
      <c r="A142" s="6">
        <v>1</v>
      </c>
      <c r="B142" s="66">
        <f>SUBTOTAL(103,$A$66:A142)</f>
        <v>71</v>
      </c>
      <c r="C142" s="146" t="s">
        <v>1231</v>
      </c>
      <c r="D142" s="91" t="s">
        <v>1489</v>
      </c>
      <c r="E142" s="69">
        <v>0.88049999999999995</v>
      </c>
      <c r="F142" s="31">
        <f t="shared" si="24"/>
        <v>275836.81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3">
        <v>0</v>
      </c>
      <c r="N142" s="31">
        <v>0</v>
      </c>
      <c r="O142" s="31">
        <v>498</v>
      </c>
      <c r="P142" s="31">
        <v>271760.40000000002</v>
      </c>
      <c r="Q142" s="31">
        <v>0</v>
      </c>
      <c r="R142" s="31">
        <v>0</v>
      </c>
      <c r="S142" s="31">
        <v>0</v>
      </c>
      <c r="T142" s="147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f t="shared" si="34"/>
        <v>4076.41</v>
      </c>
      <c r="AF142" s="31">
        <v>0</v>
      </c>
      <c r="AG142" s="31">
        <v>0</v>
      </c>
      <c r="AH142" s="142" t="s">
        <v>274</v>
      </c>
      <c r="AI142" s="142">
        <v>2020</v>
      </c>
      <c r="AJ142" s="142">
        <v>2020</v>
      </c>
    </row>
    <row r="143" spans="1:36" ht="61.5" x14ac:dyDescent="0.85">
      <c r="A143" s="6">
        <v>1</v>
      </c>
      <c r="B143" s="66">
        <f>SUBTOTAL(103,$A$66:A143)</f>
        <v>72</v>
      </c>
      <c r="C143" s="146" t="s">
        <v>1559</v>
      </c>
      <c r="D143" s="91" t="s">
        <v>1488</v>
      </c>
      <c r="E143" s="69">
        <v>0.97189999999999999</v>
      </c>
      <c r="F143" s="31">
        <f t="shared" si="24"/>
        <v>101365.01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3">
        <v>0</v>
      </c>
      <c r="N143" s="31">
        <v>0</v>
      </c>
      <c r="O143" s="31">
        <v>1067</v>
      </c>
      <c r="P143" s="31">
        <v>99867</v>
      </c>
      <c r="Q143" s="31">
        <v>0</v>
      </c>
      <c r="R143" s="31">
        <v>0</v>
      </c>
      <c r="S143" s="31">
        <v>0</v>
      </c>
      <c r="T143" s="147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f t="shared" si="34"/>
        <v>1498.01</v>
      </c>
      <c r="AF143" s="31">
        <v>0</v>
      </c>
      <c r="AG143" s="31">
        <v>0</v>
      </c>
      <c r="AH143" s="142" t="s">
        <v>274</v>
      </c>
      <c r="AI143" s="142">
        <v>2020</v>
      </c>
      <c r="AJ143" s="142">
        <v>2020</v>
      </c>
    </row>
    <row r="144" spans="1:36" ht="61.5" x14ac:dyDescent="0.85">
      <c r="A144" s="6">
        <v>1</v>
      </c>
      <c r="B144" s="66">
        <f>SUBTOTAL(103,$A$66:A144)</f>
        <v>73</v>
      </c>
      <c r="C144" s="146" t="s">
        <v>1597</v>
      </c>
      <c r="D144" s="91" t="s">
        <v>1105</v>
      </c>
      <c r="E144" s="69">
        <v>0.93899999999999995</v>
      </c>
      <c r="F144" s="31">
        <f t="shared" si="24"/>
        <v>86282.11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3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147">
        <v>0</v>
      </c>
      <c r="U144" s="31">
        <v>0</v>
      </c>
      <c r="V144" s="31">
        <v>0</v>
      </c>
      <c r="W144" s="31">
        <v>0</v>
      </c>
      <c r="X144" s="31">
        <v>85007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f>ROUND(X144*1.5%,2)</f>
        <v>1275.1099999999999</v>
      </c>
      <c r="AF144" s="31">
        <v>0</v>
      </c>
      <c r="AG144" s="31">
        <v>0</v>
      </c>
      <c r="AH144" s="142" t="s">
        <v>274</v>
      </c>
      <c r="AI144" s="142">
        <v>2020</v>
      </c>
      <c r="AJ144" s="142">
        <v>2020</v>
      </c>
    </row>
    <row r="145" spans="1:36" ht="62.25" x14ac:dyDescent="0.9">
      <c r="B145" s="143" t="s">
        <v>1495</v>
      </c>
      <c r="C145" s="144"/>
      <c r="D145" s="145" t="s">
        <v>934</v>
      </c>
      <c r="E145" s="69">
        <f>AVERAGE(E146:E150)</f>
        <v>0.87974755396834392</v>
      </c>
      <c r="F145" s="31">
        <f>SUM(F146:F150)</f>
        <v>1627513.1600000001</v>
      </c>
      <c r="G145" s="31">
        <f t="shared" ref="G145:AG145" si="35">SUM(G146:G150)</f>
        <v>0</v>
      </c>
      <c r="H145" s="31">
        <f t="shared" si="35"/>
        <v>0</v>
      </c>
      <c r="I145" s="31">
        <f t="shared" si="35"/>
        <v>0</v>
      </c>
      <c r="J145" s="31">
        <f t="shared" si="35"/>
        <v>0</v>
      </c>
      <c r="K145" s="31">
        <f t="shared" si="35"/>
        <v>0</v>
      </c>
      <c r="L145" s="31">
        <f t="shared" si="35"/>
        <v>0</v>
      </c>
      <c r="M145" s="33">
        <f t="shared" si="35"/>
        <v>0</v>
      </c>
      <c r="N145" s="31">
        <f t="shared" si="35"/>
        <v>0</v>
      </c>
      <c r="O145" s="31">
        <f t="shared" si="35"/>
        <v>5282.4000000000005</v>
      </c>
      <c r="P145" s="31">
        <f t="shared" si="35"/>
        <v>1603461.23</v>
      </c>
      <c r="Q145" s="31">
        <f t="shared" si="35"/>
        <v>0</v>
      </c>
      <c r="R145" s="31">
        <f t="shared" si="35"/>
        <v>0</v>
      </c>
      <c r="S145" s="31">
        <f t="shared" si="35"/>
        <v>0</v>
      </c>
      <c r="T145" s="31">
        <f t="shared" si="35"/>
        <v>0</v>
      </c>
      <c r="U145" s="31">
        <f t="shared" si="35"/>
        <v>0</v>
      </c>
      <c r="V145" s="31">
        <f t="shared" si="35"/>
        <v>0</v>
      </c>
      <c r="W145" s="31">
        <f t="shared" si="35"/>
        <v>0</v>
      </c>
      <c r="X145" s="31">
        <f t="shared" si="35"/>
        <v>0</v>
      </c>
      <c r="Y145" s="31">
        <f t="shared" si="35"/>
        <v>0</v>
      </c>
      <c r="Z145" s="31">
        <f t="shared" si="35"/>
        <v>0</v>
      </c>
      <c r="AA145" s="31">
        <f t="shared" si="35"/>
        <v>0</v>
      </c>
      <c r="AB145" s="31">
        <f t="shared" si="35"/>
        <v>0</v>
      </c>
      <c r="AC145" s="31">
        <f t="shared" si="35"/>
        <v>0</v>
      </c>
      <c r="AD145" s="31">
        <f t="shared" si="35"/>
        <v>0</v>
      </c>
      <c r="AE145" s="31">
        <f t="shared" si="35"/>
        <v>24051.93</v>
      </c>
      <c r="AF145" s="31">
        <f t="shared" si="35"/>
        <v>0</v>
      </c>
      <c r="AG145" s="31">
        <f t="shared" si="35"/>
        <v>0</v>
      </c>
      <c r="AH145" s="142" t="s">
        <v>934</v>
      </c>
      <c r="AI145" s="142" t="s">
        <v>934</v>
      </c>
      <c r="AJ145" s="142" t="s">
        <v>934</v>
      </c>
    </row>
    <row r="146" spans="1:36" ht="61.5" x14ac:dyDescent="0.85">
      <c r="A146" s="6">
        <v>1</v>
      </c>
      <c r="B146" s="66">
        <f>SUBTOTAL(103,$A$66:A146)</f>
        <v>74</v>
      </c>
      <c r="C146" s="146" t="s">
        <v>1560</v>
      </c>
      <c r="D146" s="72" t="s">
        <v>1103</v>
      </c>
      <c r="E146" s="69">
        <v>0.9054350997618551</v>
      </c>
      <c r="F146" s="31">
        <f t="shared" si="24"/>
        <v>388505.87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3">
        <v>0</v>
      </c>
      <c r="N146" s="31">
        <v>0</v>
      </c>
      <c r="O146" s="31">
        <v>1160.0999999999999</v>
      </c>
      <c r="P146" s="31">
        <v>382764.4</v>
      </c>
      <c r="Q146" s="31">
        <v>0</v>
      </c>
      <c r="R146" s="31">
        <v>0</v>
      </c>
      <c r="S146" s="31">
        <v>0</v>
      </c>
      <c r="T146" s="147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f>ROUND(P146*1.5%,2)</f>
        <v>5741.47</v>
      </c>
      <c r="AF146" s="31">
        <v>0</v>
      </c>
      <c r="AG146" s="31">
        <v>0</v>
      </c>
      <c r="AH146" s="142" t="s">
        <v>274</v>
      </c>
      <c r="AI146" s="142">
        <v>2020</v>
      </c>
      <c r="AJ146" s="142">
        <v>2020</v>
      </c>
    </row>
    <row r="147" spans="1:36" ht="61.5" x14ac:dyDescent="0.85">
      <c r="A147" s="6">
        <v>1</v>
      </c>
      <c r="B147" s="66">
        <f>SUBTOTAL(103,$A$66:A147)</f>
        <v>75</v>
      </c>
      <c r="C147" s="146" t="s">
        <v>1561</v>
      </c>
      <c r="D147" s="72" t="s">
        <v>1108</v>
      </c>
      <c r="E147" s="69">
        <v>0.87345236547698324</v>
      </c>
      <c r="F147" s="31">
        <f t="shared" si="24"/>
        <v>388505.87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3">
        <v>0</v>
      </c>
      <c r="N147" s="31">
        <v>0</v>
      </c>
      <c r="O147" s="31">
        <v>1192.7</v>
      </c>
      <c r="P147" s="31">
        <v>382764.4</v>
      </c>
      <c r="Q147" s="31">
        <v>0</v>
      </c>
      <c r="R147" s="31">
        <v>0</v>
      </c>
      <c r="S147" s="31">
        <v>0</v>
      </c>
      <c r="T147" s="147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f>ROUND(P147*1.5%,2)</f>
        <v>5741.47</v>
      </c>
      <c r="AF147" s="31">
        <v>0</v>
      </c>
      <c r="AG147" s="31">
        <v>0</v>
      </c>
      <c r="AH147" s="142" t="s">
        <v>274</v>
      </c>
      <c r="AI147" s="142">
        <v>2020</v>
      </c>
      <c r="AJ147" s="142">
        <v>2020</v>
      </c>
    </row>
    <row r="148" spans="1:36" ht="61.5" x14ac:dyDescent="0.85">
      <c r="A148" s="6">
        <v>1</v>
      </c>
      <c r="B148" s="66">
        <f>SUBTOTAL(103,$A$66:A148)</f>
        <v>76</v>
      </c>
      <c r="C148" s="146" t="s">
        <v>398</v>
      </c>
      <c r="D148" s="72" t="s">
        <v>1104</v>
      </c>
      <c r="E148" s="69">
        <v>0.86236529068576662</v>
      </c>
      <c r="F148" s="31">
        <f t="shared" si="24"/>
        <v>321971.32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3">
        <v>0</v>
      </c>
      <c r="N148" s="31">
        <v>0</v>
      </c>
      <c r="O148" s="31">
        <v>1207</v>
      </c>
      <c r="P148" s="31">
        <v>317213.12</v>
      </c>
      <c r="Q148" s="31">
        <v>0</v>
      </c>
      <c r="R148" s="31">
        <v>0</v>
      </c>
      <c r="S148" s="31">
        <v>0</v>
      </c>
      <c r="T148" s="147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f>ROUND(P148*1.5%,2)</f>
        <v>4758.2</v>
      </c>
      <c r="AF148" s="31">
        <v>0</v>
      </c>
      <c r="AG148" s="31">
        <v>0</v>
      </c>
      <c r="AH148" s="142" t="s">
        <v>274</v>
      </c>
      <c r="AI148" s="142">
        <v>2020</v>
      </c>
      <c r="AJ148" s="142">
        <v>2020</v>
      </c>
    </row>
    <row r="149" spans="1:36" ht="61.5" x14ac:dyDescent="0.85">
      <c r="A149" s="6">
        <v>1</v>
      </c>
      <c r="B149" s="66">
        <f>SUBTOTAL(103,$A$66:A149)</f>
        <v>77</v>
      </c>
      <c r="C149" s="146" t="s">
        <v>1562</v>
      </c>
      <c r="D149" s="72" t="s">
        <v>1486</v>
      </c>
      <c r="E149" s="69">
        <v>0.85951459937778774</v>
      </c>
      <c r="F149" s="31">
        <f t="shared" si="24"/>
        <v>321971.32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3">
        <v>0</v>
      </c>
      <c r="N149" s="31">
        <v>0</v>
      </c>
      <c r="O149" s="31">
        <v>1206</v>
      </c>
      <c r="P149" s="31">
        <v>317213.12</v>
      </c>
      <c r="Q149" s="31">
        <v>0</v>
      </c>
      <c r="R149" s="31">
        <v>0</v>
      </c>
      <c r="S149" s="31">
        <v>0</v>
      </c>
      <c r="T149" s="147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f>ROUND(P149*1.5%,2)</f>
        <v>4758.2</v>
      </c>
      <c r="AF149" s="31">
        <v>0</v>
      </c>
      <c r="AG149" s="31">
        <v>0</v>
      </c>
      <c r="AH149" s="142" t="s">
        <v>274</v>
      </c>
      <c r="AI149" s="142">
        <v>2020</v>
      </c>
      <c r="AJ149" s="142">
        <v>2020</v>
      </c>
    </row>
    <row r="150" spans="1:36" ht="61.5" x14ac:dyDescent="0.85">
      <c r="A150" s="6">
        <v>1</v>
      </c>
      <c r="B150" s="66">
        <f>SUBTOTAL(103,$A$66:A150)</f>
        <v>78</v>
      </c>
      <c r="C150" s="146" t="s">
        <v>1563</v>
      </c>
      <c r="D150" s="72" t="s">
        <v>1484</v>
      </c>
      <c r="E150" s="69">
        <v>0.89797041453932691</v>
      </c>
      <c r="F150" s="31">
        <f t="shared" si="24"/>
        <v>206558.78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3">
        <v>0</v>
      </c>
      <c r="N150" s="31">
        <v>0</v>
      </c>
      <c r="O150" s="31">
        <v>516.6</v>
      </c>
      <c r="P150" s="31">
        <v>203506.19</v>
      </c>
      <c r="Q150" s="31">
        <v>0</v>
      </c>
      <c r="R150" s="31">
        <v>0</v>
      </c>
      <c r="S150" s="31">
        <v>0</v>
      </c>
      <c r="T150" s="147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f>ROUND(P150*1.5%,2)</f>
        <v>3052.59</v>
      </c>
      <c r="AF150" s="31">
        <v>0</v>
      </c>
      <c r="AG150" s="31">
        <v>0</v>
      </c>
      <c r="AH150" s="142" t="s">
        <v>274</v>
      </c>
      <c r="AI150" s="142">
        <v>2020</v>
      </c>
      <c r="AJ150" s="142">
        <v>2020</v>
      </c>
    </row>
    <row r="151" spans="1:36" ht="62.25" x14ac:dyDescent="0.9">
      <c r="B151" s="143" t="s">
        <v>928</v>
      </c>
      <c r="C151" s="144"/>
      <c r="D151" s="145" t="s">
        <v>934</v>
      </c>
      <c r="E151" s="69">
        <f>AVERAGE(E152:E153)</f>
        <v>0.86194999999999999</v>
      </c>
      <c r="F151" s="31">
        <f>SUM(F152:F153)</f>
        <v>3777624.56</v>
      </c>
      <c r="G151" s="31">
        <f t="shared" ref="G151:AG151" si="36">SUM(G152:G153)</f>
        <v>0</v>
      </c>
      <c r="H151" s="31">
        <f t="shared" si="36"/>
        <v>0</v>
      </c>
      <c r="I151" s="31">
        <f t="shared" si="36"/>
        <v>0</v>
      </c>
      <c r="J151" s="31">
        <f t="shared" si="36"/>
        <v>0</v>
      </c>
      <c r="K151" s="31">
        <f t="shared" si="36"/>
        <v>0</v>
      </c>
      <c r="L151" s="31">
        <f t="shared" si="36"/>
        <v>0</v>
      </c>
      <c r="M151" s="33">
        <f t="shared" si="36"/>
        <v>0</v>
      </c>
      <c r="N151" s="31">
        <f t="shared" si="36"/>
        <v>0</v>
      </c>
      <c r="O151" s="31">
        <f t="shared" si="36"/>
        <v>1625</v>
      </c>
      <c r="P151" s="31">
        <f t="shared" si="36"/>
        <v>3721797.6</v>
      </c>
      <c r="Q151" s="31">
        <f t="shared" si="36"/>
        <v>0</v>
      </c>
      <c r="R151" s="31">
        <f t="shared" si="36"/>
        <v>0</v>
      </c>
      <c r="S151" s="31">
        <f t="shared" si="36"/>
        <v>0</v>
      </c>
      <c r="T151" s="31">
        <f t="shared" si="36"/>
        <v>0</v>
      </c>
      <c r="U151" s="31">
        <f t="shared" si="36"/>
        <v>0</v>
      </c>
      <c r="V151" s="31">
        <f t="shared" si="36"/>
        <v>0</v>
      </c>
      <c r="W151" s="31">
        <f t="shared" si="36"/>
        <v>0</v>
      </c>
      <c r="X151" s="31">
        <f t="shared" si="36"/>
        <v>0</v>
      </c>
      <c r="Y151" s="31">
        <f t="shared" si="36"/>
        <v>0</v>
      </c>
      <c r="Z151" s="31">
        <f t="shared" si="36"/>
        <v>0</v>
      </c>
      <c r="AA151" s="31">
        <f t="shared" si="36"/>
        <v>0</v>
      </c>
      <c r="AB151" s="31">
        <f t="shared" si="36"/>
        <v>0</v>
      </c>
      <c r="AC151" s="31">
        <f t="shared" si="36"/>
        <v>0</v>
      </c>
      <c r="AD151" s="31">
        <f t="shared" si="36"/>
        <v>0</v>
      </c>
      <c r="AE151" s="31">
        <f t="shared" si="36"/>
        <v>55826.96</v>
      </c>
      <c r="AF151" s="31">
        <f t="shared" si="36"/>
        <v>0</v>
      </c>
      <c r="AG151" s="31">
        <f t="shared" si="36"/>
        <v>0</v>
      </c>
      <c r="AH151" s="142" t="s">
        <v>934</v>
      </c>
      <c r="AI151" s="142" t="s">
        <v>934</v>
      </c>
      <c r="AJ151" s="142" t="s">
        <v>934</v>
      </c>
    </row>
    <row r="152" spans="1:36" ht="61.5" x14ac:dyDescent="0.85">
      <c r="A152" s="6">
        <v>1</v>
      </c>
      <c r="B152" s="66">
        <f>SUBTOTAL(103,$A$66:A152)</f>
        <v>79</v>
      </c>
      <c r="C152" s="146" t="s">
        <v>1564</v>
      </c>
      <c r="D152" s="72" t="s">
        <v>1487</v>
      </c>
      <c r="E152" s="69">
        <v>0.82040000000000002</v>
      </c>
      <c r="F152" s="31">
        <f t="shared" si="24"/>
        <v>1888812.28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3">
        <v>0</v>
      </c>
      <c r="N152" s="31">
        <v>0</v>
      </c>
      <c r="O152" s="31">
        <v>812.5</v>
      </c>
      <c r="P152" s="31">
        <v>1860898.8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f>ROUND(P152*1.5%,2)</f>
        <v>27913.48</v>
      </c>
      <c r="AF152" s="31">
        <v>0</v>
      </c>
      <c r="AG152" s="31">
        <v>0</v>
      </c>
      <c r="AH152" s="142" t="s">
        <v>274</v>
      </c>
      <c r="AI152" s="142">
        <v>2020</v>
      </c>
      <c r="AJ152" s="142">
        <v>2020</v>
      </c>
    </row>
    <row r="153" spans="1:36" ht="61.5" x14ac:dyDescent="0.85">
      <c r="A153" s="6">
        <v>1</v>
      </c>
      <c r="B153" s="66">
        <f>SUBTOTAL(103,$A$66:A153)</f>
        <v>80</v>
      </c>
      <c r="C153" s="146" t="s">
        <v>1565</v>
      </c>
      <c r="D153" s="72" t="s">
        <v>1485</v>
      </c>
      <c r="E153" s="69">
        <v>0.90349999999999997</v>
      </c>
      <c r="F153" s="31">
        <f>G153+H153+I153+J153+K153+L153+N153+P153+R153+T153+V153+W153+X153+Y153+Z153+AA153+AB153+AC153+AD153+AE153+AF153+AG153</f>
        <v>1888812.28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3">
        <v>0</v>
      </c>
      <c r="N153" s="31">
        <v>0</v>
      </c>
      <c r="O153" s="31">
        <v>812.5</v>
      </c>
      <c r="P153" s="31">
        <v>1860898.8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f>ROUND(P153*1.5%,2)</f>
        <v>27913.48</v>
      </c>
      <c r="AF153" s="31">
        <v>0</v>
      </c>
      <c r="AG153" s="31">
        <v>0</v>
      </c>
      <c r="AH153" s="142" t="s">
        <v>274</v>
      </c>
      <c r="AI153" s="142">
        <v>2020</v>
      </c>
      <c r="AJ153" s="142">
        <v>2020</v>
      </c>
    </row>
    <row r="154" spans="1:36" ht="61.5" x14ac:dyDescent="0.85">
      <c r="B154" s="150" t="s">
        <v>1496</v>
      </c>
      <c r="C154" s="146"/>
      <c r="D154" s="145" t="s">
        <v>934</v>
      </c>
      <c r="E154" s="69">
        <f>AVERAGE(E155:E155)</f>
        <v>0.93579999999999997</v>
      </c>
      <c r="F154" s="31">
        <f>F155</f>
        <v>13131.869999999999</v>
      </c>
      <c r="G154" s="31">
        <f t="shared" ref="G154:AG154" si="37">G155</f>
        <v>0</v>
      </c>
      <c r="H154" s="31">
        <f t="shared" si="37"/>
        <v>0</v>
      </c>
      <c r="I154" s="31">
        <f t="shared" si="37"/>
        <v>0</v>
      </c>
      <c r="J154" s="31">
        <f t="shared" si="37"/>
        <v>0</v>
      </c>
      <c r="K154" s="31">
        <f t="shared" si="37"/>
        <v>0</v>
      </c>
      <c r="L154" s="31">
        <f t="shared" si="37"/>
        <v>0</v>
      </c>
      <c r="M154" s="33">
        <f t="shared" si="37"/>
        <v>0</v>
      </c>
      <c r="N154" s="31">
        <f t="shared" si="37"/>
        <v>0</v>
      </c>
      <c r="O154" s="31">
        <f t="shared" si="37"/>
        <v>471.6</v>
      </c>
      <c r="P154" s="31">
        <f t="shared" si="37"/>
        <v>12937.8</v>
      </c>
      <c r="Q154" s="31">
        <f t="shared" si="37"/>
        <v>0</v>
      </c>
      <c r="R154" s="31">
        <f t="shared" si="37"/>
        <v>0</v>
      </c>
      <c r="S154" s="31">
        <f t="shared" si="37"/>
        <v>0</v>
      </c>
      <c r="T154" s="31">
        <f t="shared" si="37"/>
        <v>0</v>
      </c>
      <c r="U154" s="31">
        <f t="shared" si="37"/>
        <v>0</v>
      </c>
      <c r="V154" s="31">
        <f t="shared" si="37"/>
        <v>0</v>
      </c>
      <c r="W154" s="31">
        <f t="shared" si="37"/>
        <v>0</v>
      </c>
      <c r="X154" s="31">
        <f t="shared" si="37"/>
        <v>0</v>
      </c>
      <c r="Y154" s="31">
        <f t="shared" si="37"/>
        <v>0</v>
      </c>
      <c r="Z154" s="31">
        <f t="shared" si="37"/>
        <v>0</v>
      </c>
      <c r="AA154" s="31">
        <f t="shared" si="37"/>
        <v>0</v>
      </c>
      <c r="AB154" s="31">
        <f t="shared" si="37"/>
        <v>0</v>
      </c>
      <c r="AC154" s="31">
        <f t="shared" si="37"/>
        <v>0</v>
      </c>
      <c r="AD154" s="31">
        <f t="shared" si="37"/>
        <v>0</v>
      </c>
      <c r="AE154" s="31">
        <f t="shared" si="37"/>
        <v>194.07</v>
      </c>
      <c r="AF154" s="31">
        <f t="shared" si="37"/>
        <v>0</v>
      </c>
      <c r="AG154" s="31">
        <f t="shared" si="37"/>
        <v>0</v>
      </c>
      <c r="AH154" s="142" t="s">
        <v>934</v>
      </c>
      <c r="AI154" s="142" t="s">
        <v>934</v>
      </c>
      <c r="AJ154" s="142" t="s">
        <v>934</v>
      </c>
    </row>
    <row r="155" spans="1:36" ht="61.5" x14ac:dyDescent="0.85">
      <c r="A155" s="6">
        <v>1</v>
      </c>
      <c r="B155" s="66">
        <f>SUBTOTAL(103,$A$66:A155)</f>
        <v>81</v>
      </c>
      <c r="C155" s="146" t="s">
        <v>1566</v>
      </c>
      <c r="D155" s="91" t="s">
        <v>1103</v>
      </c>
      <c r="E155" s="69">
        <v>0.93579999999999997</v>
      </c>
      <c r="F155" s="31">
        <f>G155+H155+I155+J155+K155+L155+N155+P155+R155+T155+V155+W155+X155+Y155+Z155+AA155+AB155+AC155+AD155+AE155+AF155+AG155</f>
        <v>13131.869999999999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3">
        <v>0</v>
      </c>
      <c r="N155" s="31">
        <v>0</v>
      </c>
      <c r="O155" s="31">
        <v>471.6</v>
      </c>
      <c r="P155" s="31">
        <v>12937.8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f>ROUND(P155*1.5%,2)</f>
        <v>194.07</v>
      </c>
      <c r="AF155" s="31">
        <v>0</v>
      </c>
      <c r="AG155" s="31">
        <v>0</v>
      </c>
      <c r="AH155" s="142" t="s">
        <v>274</v>
      </c>
      <c r="AI155" s="142">
        <v>2020</v>
      </c>
      <c r="AJ155" s="142">
        <v>2020</v>
      </c>
    </row>
    <row r="156" spans="1:36" ht="61.5" x14ac:dyDescent="0.85">
      <c r="B156" s="150" t="s">
        <v>903</v>
      </c>
      <c r="C156" s="146"/>
      <c r="D156" s="145" t="s">
        <v>934</v>
      </c>
      <c r="E156" s="69">
        <f>E157</f>
        <v>0.9657</v>
      </c>
      <c r="F156" s="31">
        <f>F157</f>
        <v>1031418.23</v>
      </c>
      <c r="G156" s="31">
        <f t="shared" ref="G156:AG156" si="38">G157</f>
        <v>0</v>
      </c>
      <c r="H156" s="31">
        <f t="shared" si="38"/>
        <v>0</v>
      </c>
      <c r="I156" s="31">
        <f t="shared" si="38"/>
        <v>0</v>
      </c>
      <c r="J156" s="31">
        <f t="shared" si="38"/>
        <v>0</v>
      </c>
      <c r="K156" s="31">
        <f t="shared" si="38"/>
        <v>0</v>
      </c>
      <c r="L156" s="31">
        <f t="shared" si="38"/>
        <v>0</v>
      </c>
      <c r="M156" s="33">
        <f t="shared" si="38"/>
        <v>0</v>
      </c>
      <c r="N156" s="31">
        <f t="shared" si="38"/>
        <v>0</v>
      </c>
      <c r="O156" s="31">
        <f t="shared" si="38"/>
        <v>972.5</v>
      </c>
      <c r="P156" s="31">
        <f t="shared" si="38"/>
        <v>1016175.6</v>
      </c>
      <c r="Q156" s="31">
        <f t="shared" si="38"/>
        <v>0</v>
      </c>
      <c r="R156" s="31">
        <f t="shared" si="38"/>
        <v>0</v>
      </c>
      <c r="S156" s="31">
        <f t="shared" si="38"/>
        <v>0</v>
      </c>
      <c r="T156" s="31">
        <f t="shared" si="38"/>
        <v>0</v>
      </c>
      <c r="U156" s="31">
        <f t="shared" si="38"/>
        <v>0</v>
      </c>
      <c r="V156" s="31">
        <f t="shared" si="38"/>
        <v>0</v>
      </c>
      <c r="W156" s="31">
        <f t="shared" si="38"/>
        <v>0</v>
      </c>
      <c r="X156" s="31">
        <f t="shared" si="38"/>
        <v>0</v>
      </c>
      <c r="Y156" s="31">
        <f t="shared" si="38"/>
        <v>0</v>
      </c>
      <c r="Z156" s="31">
        <f t="shared" si="38"/>
        <v>0</v>
      </c>
      <c r="AA156" s="31">
        <f t="shared" si="38"/>
        <v>0</v>
      </c>
      <c r="AB156" s="31">
        <f t="shared" si="38"/>
        <v>0</v>
      </c>
      <c r="AC156" s="31">
        <f t="shared" si="38"/>
        <v>0</v>
      </c>
      <c r="AD156" s="31">
        <f t="shared" si="38"/>
        <v>0</v>
      </c>
      <c r="AE156" s="31">
        <f t="shared" si="38"/>
        <v>15242.63</v>
      </c>
      <c r="AF156" s="31">
        <f t="shared" si="38"/>
        <v>0</v>
      </c>
      <c r="AG156" s="31">
        <f t="shared" si="38"/>
        <v>0</v>
      </c>
      <c r="AH156" s="142" t="s">
        <v>934</v>
      </c>
      <c r="AI156" s="142" t="s">
        <v>934</v>
      </c>
      <c r="AJ156" s="142" t="s">
        <v>934</v>
      </c>
    </row>
    <row r="157" spans="1:36" ht="61.5" x14ac:dyDescent="0.85">
      <c r="A157" s="6">
        <v>1</v>
      </c>
      <c r="B157" s="66">
        <f>SUBTOTAL(103,$A$66:A157)</f>
        <v>82</v>
      </c>
      <c r="C157" s="146" t="s">
        <v>1567</v>
      </c>
      <c r="D157" s="72" t="s">
        <v>1104</v>
      </c>
      <c r="E157" s="69">
        <v>0.9657</v>
      </c>
      <c r="F157" s="31">
        <f>G157+H157+I157+J157+K157+L157+N157+P157+R157+T157+V157+W157+X157+Y157+Z157+AA157+AB157+AC157+AD157+AE157+AF157+AG157</f>
        <v>1031418.23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3">
        <v>0</v>
      </c>
      <c r="N157" s="31">
        <v>0</v>
      </c>
      <c r="O157" s="31">
        <v>972.5</v>
      </c>
      <c r="P157" s="31">
        <v>1016175.6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f>ROUND(P157*1.5%,2)</f>
        <v>15242.63</v>
      </c>
      <c r="AF157" s="31">
        <v>0</v>
      </c>
      <c r="AG157" s="31">
        <v>0</v>
      </c>
      <c r="AH157" s="142" t="s">
        <v>274</v>
      </c>
      <c r="AI157" s="142">
        <v>2020</v>
      </c>
      <c r="AJ157" s="142">
        <v>2020</v>
      </c>
    </row>
    <row r="158" spans="1:36" ht="61.5" x14ac:dyDescent="0.85">
      <c r="B158" s="150" t="s">
        <v>889</v>
      </c>
      <c r="C158" s="146"/>
      <c r="D158" s="145" t="s">
        <v>934</v>
      </c>
      <c r="E158" s="69">
        <f>AVERAGE(E159:E162)</f>
        <v>0.8012999999999999</v>
      </c>
      <c r="F158" s="31">
        <f>SUM(F159:F162)</f>
        <v>1212193.2</v>
      </c>
      <c r="G158" s="31">
        <f t="shared" ref="G158:AG158" si="39">SUM(G159:G162)</f>
        <v>0</v>
      </c>
      <c r="H158" s="31">
        <f t="shared" si="39"/>
        <v>0</v>
      </c>
      <c r="I158" s="31">
        <f t="shared" si="39"/>
        <v>0</v>
      </c>
      <c r="J158" s="31">
        <f t="shared" si="39"/>
        <v>0</v>
      </c>
      <c r="K158" s="31">
        <f t="shared" si="39"/>
        <v>0</v>
      </c>
      <c r="L158" s="31">
        <f t="shared" si="39"/>
        <v>0</v>
      </c>
      <c r="M158" s="33">
        <f t="shared" si="39"/>
        <v>0</v>
      </c>
      <c r="N158" s="31">
        <f t="shared" si="39"/>
        <v>0</v>
      </c>
      <c r="O158" s="31">
        <f t="shared" si="39"/>
        <v>2077</v>
      </c>
      <c r="P158" s="31">
        <f t="shared" si="39"/>
        <v>831279</v>
      </c>
      <c r="Q158" s="31">
        <f t="shared" si="39"/>
        <v>0</v>
      </c>
      <c r="R158" s="31">
        <f t="shared" si="39"/>
        <v>0</v>
      </c>
      <c r="S158" s="31">
        <f t="shared" si="39"/>
        <v>157.6</v>
      </c>
      <c r="T158" s="31">
        <f t="shared" si="39"/>
        <v>363000</v>
      </c>
      <c r="U158" s="31">
        <f t="shared" si="39"/>
        <v>0</v>
      </c>
      <c r="V158" s="31">
        <f t="shared" si="39"/>
        <v>0</v>
      </c>
      <c r="W158" s="31">
        <f t="shared" si="39"/>
        <v>0</v>
      </c>
      <c r="X158" s="31">
        <f t="shared" si="39"/>
        <v>0</v>
      </c>
      <c r="Y158" s="31">
        <f t="shared" si="39"/>
        <v>0</v>
      </c>
      <c r="Z158" s="31">
        <f t="shared" si="39"/>
        <v>0</v>
      </c>
      <c r="AA158" s="31">
        <f t="shared" si="39"/>
        <v>0</v>
      </c>
      <c r="AB158" s="31">
        <f t="shared" si="39"/>
        <v>0</v>
      </c>
      <c r="AC158" s="31">
        <f t="shared" si="39"/>
        <v>0</v>
      </c>
      <c r="AD158" s="31">
        <f t="shared" si="39"/>
        <v>0</v>
      </c>
      <c r="AE158" s="31">
        <f t="shared" si="39"/>
        <v>17914.2</v>
      </c>
      <c r="AF158" s="31">
        <f t="shared" si="39"/>
        <v>0</v>
      </c>
      <c r="AG158" s="31">
        <f t="shared" si="39"/>
        <v>0</v>
      </c>
      <c r="AH158" s="142" t="s">
        <v>934</v>
      </c>
      <c r="AI158" s="142" t="s">
        <v>934</v>
      </c>
      <c r="AJ158" s="142" t="s">
        <v>934</v>
      </c>
    </row>
    <row r="159" spans="1:36" ht="61.5" x14ac:dyDescent="0.85">
      <c r="A159" s="6">
        <v>1</v>
      </c>
      <c r="B159" s="66">
        <f>SUBTOTAL(103,$A$66:A159)</f>
        <v>83</v>
      </c>
      <c r="C159" s="146" t="s">
        <v>1568</v>
      </c>
      <c r="D159" s="91" t="s">
        <v>1106</v>
      </c>
      <c r="E159" s="69">
        <v>0.83589999999999998</v>
      </c>
      <c r="F159" s="31">
        <f>G159+H159+I159+J159+K159+L159+N159+P159+R159+T159+V159+W159+X159+Y159+Z159+AA159+AB159+AC159+AD159+AE159+AF159+AG159</f>
        <v>778290.84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3">
        <v>0</v>
      </c>
      <c r="N159" s="31">
        <v>0</v>
      </c>
      <c r="O159" s="31">
        <v>958</v>
      </c>
      <c r="P159" s="31">
        <v>766789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f>ROUND(P159*1.5%,2)</f>
        <v>11501.84</v>
      </c>
      <c r="AF159" s="31">
        <v>0</v>
      </c>
      <c r="AG159" s="31">
        <v>0</v>
      </c>
      <c r="AH159" s="142" t="s">
        <v>274</v>
      </c>
      <c r="AI159" s="142">
        <v>2020</v>
      </c>
      <c r="AJ159" s="142">
        <v>2020</v>
      </c>
    </row>
    <row r="160" spans="1:36" ht="61.5" x14ac:dyDescent="0.85">
      <c r="A160" s="6">
        <v>1</v>
      </c>
      <c r="B160" s="66">
        <f>SUBTOTAL(103,$A$66:A160)</f>
        <v>84</v>
      </c>
      <c r="C160" s="146" t="s">
        <v>1569</v>
      </c>
      <c r="D160" s="72" t="s">
        <v>1104</v>
      </c>
      <c r="E160" s="69">
        <v>0.86939999999999995</v>
      </c>
      <c r="F160" s="31">
        <f>G160+H160+I160+J160+K160+L160+N160+P160+R160+T160+V160+W160+X160+Y160+Z160+AA160+AB160+AC160+AD160+AE160+AF160+AG160</f>
        <v>7786.07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3">
        <v>0</v>
      </c>
      <c r="N160" s="31">
        <v>0</v>
      </c>
      <c r="O160" s="31">
        <v>611</v>
      </c>
      <c r="P160" s="31">
        <v>7671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f>ROUND(P160*1.5%,2)</f>
        <v>115.07</v>
      </c>
      <c r="AF160" s="31">
        <v>0</v>
      </c>
      <c r="AG160" s="31">
        <v>0</v>
      </c>
      <c r="AH160" s="142" t="s">
        <v>274</v>
      </c>
      <c r="AI160" s="142">
        <v>2020</v>
      </c>
      <c r="AJ160" s="142">
        <v>2020</v>
      </c>
    </row>
    <row r="161" spans="1:36" ht="61.5" x14ac:dyDescent="0.85">
      <c r="A161" s="6">
        <v>1</v>
      </c>
      <c r="B161" s="66">
        <f>SUBTOTAL(103,$A$66:A161)</f>
        <v>85</v>
      </c>
      <c r="C161" s="146" t="s">
        <v>1570</v>
      </c>
      <c r="D161" s="91" t="s">
        <v>1107</v>
      </c>
      <c r="E161" s="69">
        <v>0.62490000000000001</v>
      </c>
      <c r="F161" s="31">
        <f>G161+H161+I161+J161+K161+L161+N161+P161+R161+T161+V161+W161+X161+Y161+Z161+AA161+AB161+AC161+AD161+AE161+AF161+AG161</f>
        <v>368445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3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157.6</v>
      </c>
      <c r="T161" s="31">
        <v>363000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f>ROUND(T161*1.5%,2)</f>
        <v>5445</v>
      </c>
      <c r="AF161" s="31">
        <v>0</v>
      </c>
      <c r="AG161" s="31">
        <v>0</v>
      </c>
      <c r="AH161" s="142" t="s">
        <v>274</v>
      </c>
      <c r="AI161" s="142">
        <v>2020</v>
      </c>
      <c r="AJ161" s="142">
        <v>2020</v>
      </c>
    </row>
    <row r="162" spans="1:36" ht="61.5" x14ac:dyDescent="0.85">
      <c r="A162" s="6">
        <v>1</v>
      </c>
      <c r="B162" s="66">
        <f>SUBTOTAL(103,$A$66:A162)</f>
        <v>86</v>
      </c>
      <c r="C162" s="146" t="s">
        <v>1598</v>
      </c>
      <c r="D162" s="91" t="s">
        <v>1491</v>
      </c>
      <c r="E162" s="69">
        <v>0.875</v>
      </c>
      <c r="F162" s="31">
        <f>G162+H162+I162+J162+K162+L162+N162+P162+R162+T162+V162+W162+X162+Y162+Z162+AA162+AB162+AC162+AD162+AE162+AF162+AG162</f>
        <v>57671.29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3">
        <v>0</v>
      </c>
      <c r="N162" s="31">
        <v>0</v>
      </c>
      <c r="O162" s="31">
        <v>508</v>
      </c>
      <c r="P162" s="31">
        <v>56819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f>ROUND(P162*1.5%,2)</f>
        <v>852.29</v>
      </c>
      <c r="AF162" s="31">
        <v>0</v>
      </c>
      <c r="AG162" s="31">
        <v>0</v>
      </c>
      <c r="AH162" s="142" t="s">
        <v>274</v>
      </c>
      <c r="AI162" s="142">
        <v>2020</v>
      </c>
      <c r="AJ162" s="142">
        <v>2020</v>
      </c>
    </row>
    <row r="163" spans="1:36" ht="61.5" x14ac:dyDescent="0.85">
      <c r="B163" s="150" t="s">
        <v>913</v>
      </c>
      <c r="C163" s="146"/>
      <c r="D163" s="145" t="s">
        <v>934</v>
      </c>
      <c r="E163" s="69">
        <f>E164</f>
        <v>0.93430000000000002</v>
      </c>
      <c r="F163" s="31">
        <f>F164</f>
        <v>596858.56999999995</v>
      </c>
      <c r="G163" s="31">
        <f t="shared" ref="G163:AG163" si="40">G164</f>
        <v>0</v>
      </c>
      <c r="H163" s="31">
        <f t="shared" si="40"/>
        <v>0</v>
      </c>
      <c r="I163" s="31">
        <f t="shared" si="40"/>
        <v>0</v>
      </c>
      <c r="J163" s="31">
        <f t="shared" si="40"/>
        <v>0</v>
      </c>
      <c r="K163" s="31">
        <f t="shared" si="40"/>
        <v>0</v>
      </c>
      <c r="L163" s="31">
        <f t="shared" si="40"/>
        <v>0</v>
      </c>
      <c r="M163" s="33">
        <f t="shared" si="40"/>
        <v>0</v>
      </c>
      <c r="N163" s="31">
        <f t="shared" si="40"/>
        <v>0</v>
      </c>
      <c r="O163" s="31">
        <f t="shared" si="40"/>
        <v>1223</v>
      </c>
      <c r="P163" s="31">
        <f t="shared" si="40"/>
        <v>588038</v>
      </c>
      <c r="Q163" s="31">
        <f t="shared" si="40"/>
        <v>0</v>
      </c>
      <c r="R163" s="31">
        <f t="shared" si="40"/>
        <v>0</v>
      </c>
      <c r="S163" s="31">
        <f t="shared" si="40"/>
        <v>0</v>
      </c>
      <c r="T163" s="31">
        <f t="shared" si="40"/>
        <v>0</v>
      </c>
      <c r="U163" s="31">
        <f t="shared" si="40"/>
        <v>0</v>
      </c>
      <c r="V163" s="31">
        <f t="shared" si="40"/>
        <v>0</v>
      </c>
      <c r="W163" s="31">
        <f t="shared" si="40"/>
        <v>0</v>
      </c>
      <c r="X163" s="31">
        <f t="shared" si="40"/>
        <v>0</v>
      </c>
      <c r="Y163" s="31">
        <f t="shared" si="40"/>
        <v>0</v>
      </c>
      <c r="Z163" s="31">
        <f t="shared" si="40"/>
        <v>0</v>
      </c>
      <c r="AA163" s="31">
        <f t="shared" si="40"/>
        <v>0</v>
      </c>
      <c r="AB163" s="31">
        <f t="shared" si="40"/>
        <v>0</v>
      </c>
      <c r="AC163" s="31">
        <f t="shared" si="40"/>
        <v>0</v>
      </c>
      <c r="AD163" s="31">
        <f t="shared" si="40"/>
        <v>0</v>
      </c>
      <c r="AE163" s="31">
        <f t="shared" si="40"/>
        <v>8820.57</v>
      </c>
      <c r="AF163" s="31">
        <f t="shared" si="40"/>
        <v>0</v>
      </c>
      <c r="AG163" s="31">
        <f t="shared" si="40"/>
        <v>0</v>
      </c>
      <c r="AH163" s="142" t="s">
        <v>934</v>
      </c>
      <c r="AI163" s="142" t="s">
        <v>934</v>
      </c>
      <c r="AJ163" s="142" t="s">
        <v>934</v>
      </c>
    </row>
    <row r="164" spans="1:36" ht="123" x14ac:dyDescent="0.85">
      <c r="A164" s="6">
        <v>1</v>
      </c>
      <c r="B164" s="66">
        <f>SUBTOTAL(103,$A$66:A164)</f>
        <v>87</v>
      </c>
      <c r="C164" s="146" t="s">
        <v>1571</v>
      </c>
      <c r="D164" s="72" t="s">
        <v>1107</v>
      </c>
      <c r="E164" s="69">
        <v>0.93430000000000002</v>
      </c>
      <c r="F164" s="31">
        <f>G164+H164+I164+J164+K164+L164+N164+P164+R164+T164+V164+W164+X164+Y164+Z164+AA164+AB164+AC164+AD164+AE164+AF164+AG164</f>
        <v>596858.56999999995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3">
        <v>0</v>
      </c>
      <c r="N164" s="31">
        <v>0</v>
      </c>
      <c r="O164" s="31">
        <v>1223</v>
      </c>
      <c r="P164" s="31">
        <v>588038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f>ROUND(P164*1.5%,2)</f>
        <v>8820.57</v>
      </c>
      <c r="AF164" s="31">
        <v>0</v>
      </c>
      <c r="AG164" s="31">
        <v>0</v>
      </c>
      <c r="AH164" s="142" t="s">
        <v>274</v>
      </c>
      <c r="AI164" s="142">
        <v>2020</v>
      </c>
      <c r="AJ164" s="142">
        <v>2020</v>
      </c>
    </row>
    <row r="165" spans="1:36" ht="61.5" x14ac:dyDescent="0.85">
      <c r="B165" s="150" t="s">
        <v>874</v>
      </c>
      <c r="C165" s="146"/>
      <c r="D165" s="145" t="s">
        <v>934</v>
      </c>
      <c r="E165" s="69">
        <f>E166</f>
        <v>0.96641898912086177</v>
      </c>
      <c r="F165" s="31">
        <f>F166</f>
        <v>316888.5</v>
      </c>
      <c r="G165" s="31">
        <f t="shared" ref="G165:AG165" si="41">G166</f>
        <v>0</v>
      </c>
      <c r="H165" s="31">
        <f t="shared" si="41"/>
        <v>0</v>
      </c>
      <c r="I165" s="31">
        <f t="shared" si="41"/>
        <v>0</v>
      </c>
      <c r="J165" s="31">
        <f t="shared" si="41"/>
        <v>0</v>
      </c>
      <c r="K165" s="31">
        <f t="shared" si="41"/>
        <v>0</v>
      </c>
      <c r="L165" s="31">
        <f t="shared" si="41"/>
        <v>0</v>
      </c>
      <c r="M165" s="33">
        <f t="shared" si="41"/>
        <v>0</v>
      </c>
      <c r="N165" s="31">
        <f t="shared" si="41"/>
        <v>0</v>
      </c>
      <c r="O165" s="31">
        <f t="shared" si="41"/>
        <v>729.8</v>
      </c>
      <c r="P165" s="31">
        <f t="shared" si="41"/>
        <v>312205.42</v>
      </c>
      <c r="Q165" s="31">
        <f t="shared" si="41"/>
        <v>0</v>
      </c>
      <c r="R165" s="31">
        <f t="shared" si="41"/>
        <v>0</v>
      </c>
      <c r="S165" s="31">
        <f t="shared" si="41"/>
        <v>0</v>
      </c>
      <c r="T165" s="31">
        <f t="shared" si="41"/>
        <v>0</v>
      </c>
      <c r="U165" s="31">
        <f t="shared" si="41"/>
        <v>0</v>
      </c>
      <c r="V165" s="31">
        <f t="shared" si="41"/>
        <v>0</v>
      </c>
      <c r="W165" s="31">
        <f t="shared" si="41"/>
        <v>0</v>
      </c>
      <c r="X165" s="31">
        <f t="shared" si="41"/>
        <v>0</v>
      </c>
      <c r="Y165" s="31">
        <f t="shared" si="41"/>
        <v>0</v>
      </c>
      <c r="Z165" s="31">
        <f t="shared" si="41"/>
        <v>0</v>
      </c>
      <c r="AA165" s="31">
        <f t="shared" si="41"/>
        <v>0</v>
      </c>
      <c r="AB165" s="31">
        <f t="shared" si="41"/>
        <v>0</v>
      </c>
      <c r="AC165" s="31">
        <f t="shared" si="41"/>
        <v>0</v>
      </c>
      <c r="AD165" s="31">
        <f t="shared" si="41"/>
        <v>0</v>
      </c>
      <c r="AE165" s="31">
        <f t="shared" si="41"/>
        <v>4683.08</v>
      </c>
      <c r="AF165" s="31">
        <f t="shared" si="41"/>
        <v>0</v>
      </c>
      <c r="AG165" s="31">
        <f t="shared" si="41"/>
        <v>0</v>
      </c>
      <c r="AH165" s="142" t="s">
        <v>934</v>
      </c>
      <c r="AI165" s="142" t="s">
        <v>934</v>
      </c>
      <c r="AJ165" s="142" t="s">
        <v>934</v>
      </c>
    </row>
    <row r="166" spans="1:36" ht="61.5" x14ac:dyDescent="0.85">
      <c r="A166" s="6">
        <v>1</v>
      </c>
      <c r="B166" s="66">
        <f>SUBTOTAL(103,$A$66:A166)</f>
        <v>88</v>
      </c>
      <c r="C166" s="146" t="s">
        <v>1572</v>
      </c>
      <c r="D166" s="145" t="s">
        <v>1105</v>
      </c>
      <c r="E166" s="69">
        <v>0.96641898912086177</v>
      </c>
      <c r="F166" s="31">
        <f>G166+H166+I166+J166+K166+L166+N166+P166+R166+T166+V166+W166+X166+Y166+Z166+AA166+AB166+AC166+AD166+AE166+AF166+AG166</f>
        <v>316888.5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3">
        <v>0</v>
      </c>
      <c r="N166" s="31">
        <v>0</v>
      </c>
      <c r="O166" s="31">
        <v>729.8</v>
      </c>
      <c r="P166" s="31">
        <v>312205.42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1">
        <f>ROUND(P166*1.5%,2)</f>
        <v>4683.08</v>
      </c>
      <c r="AF166" s="31">
        <v>0</v>
      </c>
      <c r="AG166" s="31">
        <v>0</v>
      </c>
      <c r="AH166" s="142" t="s">
        <v>274</v>
      </c>
      <c r="AI166" s="142">
        <v>2020</v>
      </c>
      <c r="AJ166" s="142">
        <v>2020</v>
      </c>
    </row>
    <row r="167" spans="1:36" ht="61.5" x14ac:dyDescent="0.85">
      <c r="B167" s="150" t="s">
        <v>1497</v>
      </c>
      <c r="C167" s="146"/>
      <c r="D167" s="145" t="s">
        <v>934</v>
      </c>
      <c r="E167" s="69">
        <f>AVERAGE(E168:E169)</f>
        <v>0.79569999999999996</v>
      </c>
      <c r="F167" s="31">
        <f>F168+F169</f>
        <v>1988549.43</v>
      </c>
      <c r="G167" s="31">
        <f t="shared" ref="G167:AF167" si="42">G168+G169</f>
        <v>0</v>
      </c>
      <c r="H167" s="31">
        <f t="shared" si="42"/>
        <v>0</v>
      </c>
      <c r="I167" s="31">
        <f t="shared" si="42"/>
        <v>0</v>
      </c>
      <c r="J167" s="31">
        <f t="shared" si="42"/>
        <v>0</v>
      </c>
      <c r="K167" s="31">
        <f t="shared" si="42"/>
        <v>0</v>
      </c>
      <c r="L167" s="31">
        <f t="shared" si="42"/>
        <v>0</v>
      </c>
      <c r="M167" s="33">
        <f t="shared" si="42"/>
        <v>0</v>
      </c>
      <c r="N167" s="31">
        <f t="shared" si="42"/>
        <v>0</v>
      </c>
      <c r="O167" s="31">
        <f t="shared" si="42"/>
        <v>4741.7</v>
      </c>
      <c r="P167" s="31">
        <f t="shared" si="42"/>
        <v>1959162</v>
      </c>
      <c r="Q167" s="31">
        <f t="shared" si="42"/>
        <v>0</v>
      </c>
      <c r="R167" s="31">
        <f t="shared" si="42"/>
        <v>0</v>
      </c>
      <c r="S167" s="31">
        <f t="shared" si="42"/>
        <v>0</v>
      </c>
      <c r="T167" s="31">
        <f t="shared" si="42"/>
        <v>0</v>
      </c>
      <c r="U167" s="31">
        <f t="shared" si="42"/>
        <v>0</v>
      </c>
      <c r="V167" s="31">
        <f t="shared" si="42"/>
        <v>0</v>
      </c>
      <c r="W167" s="31">
        <f t="shared" si="42"/>
        <v>0</v>
      </c>
      <c r="X167" s="31">
        <f t="shared" si="42"/>
        <v>0</v>
      </c>
      <c r="Y167" s="31">
        <f t="shared" si="42"/>
        <v>0</v>
      </c>
      <c r="Z167" s="31">
        <f t="shared" si="42"/>
        <v>0</v>
      </c>
      <c r="AA167" s="31">
        <f t="shared" si="42"/>
        <v>0</v>
      </c>
      <c r="AB167" s="31">
        <f t="shared" si="42"/>
        <v>0</v>
      </c>
      <c r="AC167" s="31">
        <f t="shared" si="42"/>
        <v>0</v>
      </c>
      <c r="AD167" s="31">
        <f t="shared" si="42"/>
        <v>0</v>
      </c>
      <c r="AE167" s="31">
        <f t="shared" si="42"/>
        <v>29387.43</v>
      </c>
      <c r="AF167" s="31">
        <f t="shared" si="42"/>
        <v>0</v>
      </c>
      <c r="AG167" s="31">
        <f>AG168+AG169</f>
        <v>0</v>
      </c>
      <c r="AH167" s="142" t="s">
        <v>934</v>
      </c>
      <c r="AI167" s="142" t="s">
        <v>934</v>
      </c>
      <c r="AJ167" s="142" t="s">
        <v>934</v>
      </c>
    </row>
    <row r="168" spans="1:36" ht="61.5" x14ac:dyDescent="0.85">
      <c r="A168" s="6">
        <v>1</v>
      </c>
      <c r="B168" s="66">
        <f>SUBTOTAL(103,$A$66:A168)</f>
        <v>89</v>
      </c>
      <c r="C168" s="146" t="s">
        <v>1573</v>
      </c>
      <c r="D168" s="72" t="s">
        <v>1485</v>
      </c>
      <c r="E168" s="69">
        <v>0.87239999999999995</v>
      </c>
      <c r="F168" s="31">
        <f>G168+H168+I168+J168+K168+L168+N168+P168+R168+T168+V168+W168+X168+Y168+Z168+AA168+AB168+AC168+AD168+AE168+AF168+AG168</f>
        <v>83534.5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3">
        <v>0</v>
      </c>
      <c r="N168" s="31">
        <v>0</v>
      </c>
      <c r="O168" s="31">
        <v>2780.7</v>
      </c>
      <c r="P168" s="31">
        <v>82300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f>ROUND(P168*1.5%,2)</f>
        <v>1234.5</v>
      </c>
      <c r="AF168" s="31">
        <v>0</v>
      </c>
      <c r="AG168" s="31">
        <v>0</v>
      </c>
      <c r="AH168" s="142" t="s">
        <v>274</v>
      </c>
      <c r="AI168" s="142">
        <v>2020</v>
      </c>
      <c r="AJ168" s="142">
        <v>2020</v>
      </c>
    </row>
    <row r="169" spans="1:36" ht="61.5" x14ac:dyDescent="0.85">
      <c r="A169" s="6">
        <v>1</v>
      </c>
      <c r="B169" s="66">
        <f>SUBTOTAL(103,$A$66:A169)</f>
        <v>90</v>
      </c>
      <c r="C169" s="146" t="s">
        <v>1574</v>
      </c>
      <c r="D169" s="72" t="s">
        <v>1106</v>
      </c>
      <c r="E169" s="69">
        <v>0.71899999999999997</v>
      </c>
      <c r="F169" s="31">
        <f>G169+H169+I169+J169+K169+L169+N169+P169+R169+T169+V169+W169+X169+Y169+Z169+AA169+AB169+AC169+AD169+AE169+AF169+AG169</f>
        <v>1905014.93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3">
        <v>0</v>
      </c>
      <c r="N169" s="31">
        <v>0</v>
      </c>
      <c r="O169" s="31">
        <v>1961</v>
      </c>
      <c r="P169" s="31">
        <v>1876862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1">
        <f>ROUND(P169*1.5%,2)</f>
        <v>28152.93</v>
      </c>
      <c r="AF169" s="31">
        <v>0</v>
      </c>
      <c r="AG169" s="31">
        <v>0</v>
      </c>
      <c r="AH169" s="142" t="s">
        <v>274</v>
      </c>
      <c r="AI169" s="142">
        <v>2020</v>
      </c>
      <c r="AJ169" s="142">
        <v>2020</v>
      </c>
    </row>
    <row r="170" spans="1:36" ht="61.5" x14ac:dyDescent="0.85">
      <c r="B170" s="150" t="s">
        <v>927</v>
      </c>
      <c r="C170" s="146"/>
      <c r="D170" s="145" t="s">
        <v>934</v>
      </c>
      <c r="E170" s="69">
        <f>AVERAGE(E171:E172)</f>
        <v>0.85729999999999995</v>
      </c>
      <c r="F170" s="31">
        <f>F171+F172</f>
        <v>753140.14999999991</v>
      </c>
      <c r="G170" s="31">
        <f t="shared" ref="G170:AG170" si="43">G171+G172</f>
        <v>0</v>
      </c>
      <c r="H170" s="31">
        <f t="shared" si="43"/>
        <v>0</v>
      </c>
      <c r="I170" s="31">
        <f t="shared" si="43"/>
        <v>0</v>
      </c>
      <c r="J170" s="31">
        <f t="shared" si="43"/>
        <v>0</v>
      </c>
      <c r="K170" s="31">
        <f t="shared" si="43"/>
        <v>0</v>
      </c>
      <c r="L170" s="31">
        <f t="shared" si="43"/>
        <v>0</v>
      </c>
      <c r="M170" s="33">
        <f t="shared" si="43"/>
        <v>0</v>
      </c>
      <c r="N170" s="31">
        <f t="shared" si="43"/>
        <v>0</v>
      </c>
      <c r="O170" s="31">
        <f t="shared" si="43"/>
        <v>1452.8</v>
      </c>
      <c r="P170" s="31">
        <f t="shared" si="43"/>
        <v>742010</v>
      </c>
      <c r="Q170" s="31">
        <f t="shared" si="43"/>
        <v>0</v>
      </c>
      <c r="R170" s="31">
        <f t="shared" si="43"/>
        <v>0</v>
      </c>
      <c r="S170" s="31">
        <f t="shared" si="43"/>
        <v>0</v>
      </c>
      <c r="T170" s="31">
        <f t="shared" si="43"/>
        <v>0</v>
      </c>
      <c r="U170" s="31">
        <f t="shared" si="43"/>
        <v>0</v>
      </c>
      <c r="V170" s="31">
        <f t="shared" si="43"/>
        <v>0</v>
      </c>
      <c r="W170" s="31">
        <f t="shared" si="43"/>
        <v>0</v>
      </c>
      <c r="X170" s="31">
        <f t="shared" si="43"/>
        <v>0</v>
      </c>
      <c r="Y170" s="31">
        <f t="shared" si="43"/>
        <v>0</v>
      </c>
      <c r="Z170" s="31">
        <f t="shared" si="43"/>
        <v>0</v>
      </c>
      <c r="AA170" s="31">
        <f t="shared" si="43"/>
        <v>0</v>
      </c>
      <c r="AB170" s="31">
        <f t="shared" si="43"/>
        <v>0</v>
      </c>
      <c r="AC170" s="31">
        <f t="shared" si="43"/>
        <v>0</v>
      </c>
      <c r="AD170" s="31">
        <f t="shared" si="43"/>
        <v>0</v>
      </c>
      <c r="AE170" s="31">
        <f t="shared" si="43"/>
        <v>11130.150000000001</v>
      </c>
      <c r="AF170" s="31">
        <f t="shared" si="43"/>
        <v>0</v>
      </c>
      <c r="AG170" s="31">
        <f t="shared" si="43"/>
        <v>0</v>
      </c>
      <c r="AH170" s="142" t="s">
        <v>934</v>
      </c>
      <c r="AI170" s="142" t="s">
        <v>934</v>
      </c>
      <c r="AJ170" s="142" t="s">
        <v>934</v>
      </c>
    </row>
    <row r="171" spans="1:36" ht="61.5" x14ac:dyDescent="0.85">
      <c r="A171" s="6">
        <v>1</v>
      </c>
      <c r="B171" s="66">
        <f>SUBTOTAL(103,$A$66:A171)</f>
        <v>91</v>
      </c>
      <c r="C171" s="146" t="s">
        <v>1575</v>
      </c>
      <c r="D171" s="72" t="s">
        <v>1104</v>
      </c>
      <c r="E171" s="69">
        <v>0.75539999999999996</v>
      </c>
      <c r="F171" s="31">
        <f>G171+H171+I171+J171+K171+L171+N171+P171+R171+T171+V171+W171+X171+Y171+Z171+AA171+AB171+AC171+AD171+AE171+AF171+AG171</f>
        <v>712322.94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3">
        <v>0</v>
      </c>
      <c r="N171" s="31">
        <v>0</v>
      </c>
      <c r="O171" s="31">
        <v>749</v>
      </c>
      <c r="P171" s="31">
        <v>701796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f>ROUND(P171*1.5%,2)</f>
        <v>10526.94</v>
      </c>
      <c r="AF171" s="31">
        <v>0</v>
      </c>
      <c r="AG171" s="31">
        <v>0</v>
      </c>
      <c r="AH171" s="142" t="s">
        <v>274</v>
      </c>
      <c r="AI171" s="142">
        <v>2020</v>
      </c>
      <c r="AJ171" s="142">
        <v>2020</v>
      </c>
    </row>
    <row r="172" spans="1:36" ht="61.5" x14ac:dyDescent="0.85">
      <c r="A172" s="6">
        <v>1</v>
      </c>
      <c r="B172" s="66">
        <f>SUBTOTAL(103,$A$66:A172)</f>
        <v>92</v>
      </c>
      <c r="C172" s="146" t="s">
        <v>1576</v>
      </c>
      <c r="D172" s="72" t="s">
        <v>1109</v>
      </c>
      <c r="E172" s="69">
        <v>0.95920000000000005</v>
      </c>
      <c r="F172" s="31">
        <f>G172+H172+I172+J172+K172+L172+N172+P172+R172+T172+V172+W172+X172+Y172+Z172+AA172+AB172+AC172+AD172+AE172+AF172+AG172</f>
        <v>40817.21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3">
        <v>0</v>
      </c>
      <c r="N172" s="31">
        <v>0</v>
      </c>
      <c r="O172" s="31">
        <v>703.8</v>
      </c>
      <c r="P172" s="31">
        <v>40214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f>ROUND(P172*1.5%,2)</f>
        <v>603.21</v>
      </c>
      <c r="AF172" s="31">
        <v>0</v>
      </c>
      <c r="AG172" s="31">
        <v>0</v>
      </c>
      <c r="AH172" s="142" t="s">
        <v>274</v>
      </c>
      <c r="AI172" s="142">
        <v>2020</v>
      </c>
      <c r="AJ172" s="142">
        <v>2020</v>
      </c>
    </row>
    <row r="173" spans="1:36" ht="61.5" x14ac:dyDescent="0.85">
      <c r="B173" s="150" t="s">
        <v>900</v>
      </c>
      <c r="C173" s="146"/>
      <c r="D173" s="145" t="s">
        <v>934</v>
      </c>
      <c r="E173" s="69">
        <f>E174</f>
        <v>0.95309999999999995</v>
      </c>
      <c r="F173" s="31">
        <f>F174</f>
        <v>39585</v>
      </c>
      <c r="G173" s="31">
        <f t="shared" ref="G173:AG173" si="44">G174</f>
        <v>0</v>
      </c>
      <c r="H173" s="31">
        <f t="shared" si="44"/>
        <v>0</v>
      </c>
      <c r="I173" s="31">
        <f t="shared" si="44"/>
        <v>0</v>
      </c>
      <c r="J173" s="31">
        <f t="shared" si="44"/>
        <v>0</v>
      </c>
      <c r="K173" s="31">
        <f t="shared" si="44"/>
        <v>0</v>
      </c>
      <c r="L173" s="31">
        <f t="shared" si="44"/>
        <v>0</v>
      </c>
      <c r="M173" s="33">
        <f t="shared" si="44"/>
        <v>0</v>
      </c>
      <c r="N173" s="31">
        <f t="shared" si="44"/>
        <v>0</v>
      </c>
      <c r="O173" s="31">
        <f t="shared" si="44"/>
        <v>544</v>
      </c>
      <c r="P173" s="31">
        <f t="shared" si="44"/>
        <v>39000</v>
      </c>
      <c r="Q173" s="31">
        <f t="shared" si="44"/>
        <v>0</v>
      </c>
      <c r="R173" s="31">
        <f t="shared" si="44"/>
        <v>0</v>
      </c>
      <c r="S173" s="31">
        <f t="shared" si="44"/>
        <v>0</v>
      </c>
      <c r="T173" s="31">
        <f t="shared" si="44"/>
        <v>0</v>
      </c>
      <c r="U173" s="31">
        <f t="shared" si="44"/>
        <v>0</v>
      </c>
      <c r="V173" s="31">
        <f t="shared" si="44"/>
        <v>0</v>
      </c>
      <c r="W173" s="31">
        <f t="shared" si="44"/>
        <v>0</v>
      </c>
      <c r="X173" s="31">
        <f t="shared" si="44"/>
        <v>0</v>
      </c>
      <c r="Y173" s="31">
        <f t="shared" si="44"/>
        <v>0</v>
      </c>
      <c r="Z173" s="31">
        <f t="shared" si="44"/>
        <v>0</v>
      </c>
      <c r="AA173" s="31">
        <f t="shared" si="44"/>
        <v>0</v>
      </c>
      <c r="AB173" s="31">
        <f t="shared" si="44"/>
        <v>0</v>
      </c>
      <c r="AC173" s="31">
        <f t="shared" si="44"/>
        <v>0</v>
      </c>
      <c r="AD173" s="31">
        <f t="shared" si="44"/>
        <v>0</v>
      </c>
      <c r="AE173" s="31">
        <f t="shared" si="44"/>
        <v>585</v>
      </c>
      <c r="AF173" s="31">
        <f t="shared" si="44"/>
        <v>0</v>
      </c>
      <c r="AG173" s="31">
        <f t="shared" si="44"/>
        <v>0</v>
      </c>
      <c r="AH173" s="142" t="s">
        <v>934</v>
      </c>
      <c r="AI173" s="142" t="s">
        <v>934</v>
      </c>
      <c r="AJ173" s="142" t="s">
        <v>934</v>
      </c>
    </row>
    <row r="174" spans="1:36" ht="61.5" x14ac:dyDescent="0.85">
      <c r="A174" s="6">
        <v>1</v>
      </c>
      <c r="B174" s="66">
        <f>SUBTOTAL(103,$A$66:A174)</f>
        <v>93</v>
      </c>
      <c r="C174" s="146" t="s">
        <v>1577</v>
      </c>
      <c r="D174" s="72" t="s">
        <v>1106</v>
      </c>
      <c r="E174" s="69">
        <v>0.95309999999999995</v>
      </c>
      <c r="F174" s="31">
        <f>G174+H174+I174+J174+K174+L174+N174+P174+R174+T174+V174+W174+X174+Y174+Z174+AA174+AB174+AC174+AD174+AE174+AF174+AG174</f>
        <v>39585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3">
        <v>0</v>
      </c>
      <c r="N174" s="31">
        <v>0</v>
      </c>
      <c r="O174" s="31">
        <v>544</v>
      </c>
      <c r="P174" s="31">
        <v>39000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f>ROUND(P174*1.5%,2)</f>
        <v>585</v>
      </c>
      <c r="AF174" s="31">
        <v>0</v>
      </c>
      <c r="AG174" s="31">
        <v>0</v>
      </c>
      <c r="AH174" s="142" t="s">
        <v>274</v>
      </c>
      <c r="AI174" s="142">
        <v>2020</v>
      </c>
      <c r="AJ174" s="142">
        <v>2020</v>
      </c>
    </row>
    <row r="175" spans="1:36" ht="61.5" x14ac:dyDescent="0.85">
      <c r="B175" s="150" t="s">
        <v>868</v>
      </c>
      <c r="C175" s="146"/>
      <c r="D175" s="145" t="s">
        <v>934</v>
      </c>
      <c r="E175" s="69">
        <f>E176</f>
        <v>0.81220000000000003</v>
      </c>
      <c r="F175" s="31">
        <f>F176</f>
        <v>275468.56</v>
      </c>
      <c r="G175" s="31">
        <f t="shared" ref="G175:AG175" si="45">G176</f>
        <v>0</v>
      </c>
      <c r="H175" s="31">
        <f t="shared" si="45"/>
        <v>0</v>
      </c>
      <c r="I175" s="31">
        <f t="shared" si="45"/>
        <v>0</v>
      </c>
      <c r="J175" s="31">
        <f t="shared" si="45"/>
        <v>0</v>
      </c>
      <c r="K175" s="31">
        <f t="shared" si="45"/>
        <v>0</v>
      </c>
      <c r="L175" s="31">
        <f t="shared" si="45"/>
        <v>0</v>
      </c>
      <c r="M175" s="33">
        <f t="shared" si="45"/>
        <v>0</v>
      </c>
      <c r="N175" s="31">
        <f t="shared" si="45"/>
        <v>0</v>
      </c>
      <c r="O175" s="31">
        <f t="shared" si="45"/>
        <v>708</v>
      </c>
      <c r="P175" s="31">
        <f t="shared" si="45"/>
        <v>271397.59999999998</v>
      </c>
      <c r="Q175" s="31">
        <f t="shared" si="45"/>
        <v>0</v>
      </c>
      <c r="R175" s="31">
        <f t="shared" si="45"/>
        <v>0</v>
      </c>
      <c r="S175" s="31">
        <f t="shared" si="45"/>
        <v>0</v>
      </c>
      <c r="T175" s="31">
        <f t="shared" si="45"/>
        <v>0</v>
      </c>
      <c r="U175" s="31">
        <f t="shared" si="45"/>
        <v>0</v>
      </c>
      <c r="V175" s="31">
        <f t="shared" si="45"/>
        <v>0</v>
      </c>
      <c r="W175" s="31">
        <f t="shared" si="45"/>
        <v>0</v>
      </c>
      <c r="X175" s="31">
        <f t="shared" si="45"/>
        <v>0</v>
      </c>
      <c r="Y175" s="31">
        <f t="shared" si="45"/>
        <v>0</v>
      </c>
      <c r="Z175" s="31">
        <f t="shared" si="45"/>
        <v>0</v>
      </c>
      <c r="AA175" s="31">
        <f t="shared" si="45"/>
        <v>0</v>
      </c>
      <c r="AB175" s="31">
        <f t="shared" si="45"/>
        <v>0</v>
      </c>
      <c r="AC175" s="31">
        <f t="shared" si="45"/>
        <v>0</v>
      </c>
      <c r="AD175" s="31">
        <f t="shared" si="45"/>
        <v>0</v>
      </c>
      <c r="AE175" s="31">
        <f t="shared" si="45"/>
        <v>4070.96</v>
      </c>
      <c r="AF175" s="31">
        <f t="shared" si="45"/>
        <v>0</v>
      </c>
      <c r="AG175" s="31">
        <f t="shared" si="45"/>
        <v>0</v>
      </c>
      <c r="AH175" s="142" t="s">
        <v>934</v>
      </c>
      <c r="AI175" s="142" t="s">
        <v>934</v>
      </c>
      <c r="AJ175" s="142" t="s">
        <v>934</v>
      </c>
    </row>
    <row r="176" spans="1:36" ht="61.5" x14ac:dyDescent="0.85">
      <c r="A176" s="6">
        <v>1</v>
      </c>
      <c r="B176" s="66">
        <f>SUBTOTAL(103,$A$66:A176)</f>
        <v>94</v>
      </c>
      <c r="C176" s="146" t="s">
        <v>1578</v>
      </c>
      <c r="D176" s="72" t="s">
        <v>1103</v>
      </c>
      <c r="E176" s="69">
        <v>0.81220000000000003</v>
      </c>
      <c r="F176" s="31">
        <f>G176+H176+I176+J176+K176+L176+N176+P176+R176+T176+V176+W176+X176+Y176+Z176+AA176+AB176+AC176+AD176+AE176+AF176+AG176</f>
        <v>275468.56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3">
        <v>0</v>
      </c>
      <c r="N176" s="31">
        <v>0</v>
      </c>
      <c r="O176" s="31">
        <v>708</v>
      </c>
      <c r="P176" s="31">
        <v>271397.59999999998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f>ROUND(P176*1.5%,2)</f>
        <v>4070.96</v>
      </c>
      <c r="AF176" s="31">
        <v>0</v>
      </c>
      <c r="AG176" s="31">
        <v>0</v>
      </c>
      <c r="AH176" s="142" t="s">
        <v>274</v>
      </c>
      <c r="AI176" s="142">
        <v>2020</v>
      </c>
      <c r="AJ176" s="142">
        <v>2020</v>
      </c>
    </row>
    <row r="177" spans="1:36" ht="61.5" x14ac:dyDescent="0.85">
      <c r="B177" s="150" t="s">
        <v>895</v>
      </c>
      <c r="C177" s="146"/>
      <c r="D177" s="145" t="s">
        <v>934</v>
      </c>
      <c r="E177" s="69">
        <f>AVERAGE(E178:E180)</f>
        <v>0.91273333333333329</v>
      </c>
      <c r="F177" s="31">
        <f>F178+F179+F180</f>
        <v>274179.65000000002</v>
      </c>
      <c r="G177" s="31">
        <f t="shared" ref="G177:AG177" si="46">G178+G179+G180</f>
        <v>0</v>
      </c>
      <c r="H177" s="31">
        <f t="shared" si="46"/>
        <v>0</v>
      </c>
      <c r="I177" s="31">
        <f t="shared" si="46"/>
        <v>175721.62</v>
      </c>
      <c r="J177" s="31">
        <f t="shared" si="46"/>
        <v>0</v>
      </c>
      <c r="K177" s="31">
        <f t="shared" si="46"/>
        <v>0</v>
      </c>
      <c r="L177" s="31">
        <f t="shared" si="46"/>
        <v>0</v>
      </c>
      <c r="M177" s="33">
        <f t="shared" si="46"/>
        <v>0</v>
      </c>
      <c r="N177" s="31">
        <f t="shared" si="46"/>
        <v>0</v>
      </c>
      <c r="O177" s="31">
        <f t="shared" si="46"/>
        <v>1779.9</v>
      </c>
      <c r="P177" s="31">
        <f t="shared" si="46"/>
        <v>94406.12000000001</v>
      </c>
      <c r="Q177" s="31">
        <f t="shared" si="46"/>
        <v>0</v>
      </c>
      <c r="R177" s="31">
        <f t="shared" si="46"/>
        <v>0</v>
      </c>
      <c r="S177" s="31">
        <f t="shared" si="46"/>
        <v>0</v>
      </c>
      <c r="T177" s="31">
        <f t="shared" si="46"/>
        <v>0</v>
      </c>
      <c r="U177" s="31">
        <f t="shared" si="46"/>
        <v>0</v>
      </c>
      <c r="V177" s="31">
        <f t="shared" si="46"/>
        <v>0</v>
      </c>
      <c r="W177" s="31">
        <f t="shared" si="46"/>
        <v>0</v>
      </c>
      <c r="X177" s="31">
        <f t="shared" si="46"/>
        <v>0</v>
      </c>
      <c r="Y177" s="31">
        <f t="shared" si="46"/>
        <v>0</v>
      </c>
      <c r="Z177" s="31">
        <f t="shared" si="46"/>
        <v>0</v>
      </c>
      <c r="AA177" s="31">
        <f t="shared" si="46"/>
        <v>0</v>
      </c>
      <c r="AB177" s="31">
        <f t="shared" si="46"/>
        <v>0</v>
      </c>
      <c r="AC177" s="31">
        <f t="shared" si="46"/>
        <v>0</v>
      </c>
      <c r="AD177" s="31">
        <f t="shared" si="46"/>
        <v>0</v>
      </c>
      <c r="AE177" s="31">
        <f t="shared" si="46"/>
        <v>4051.91</v>
      </c>
      <c r="AF177" s="31">
        <f t="shared" si="46"/>
        <v>0</v>
      </c>
      <c r="AG177" s="31">
        <f t="shared" si="46"/>
        <v>0</v>
      </c>
      <c r="AH177" s="142" t="s">
        <v>934</v>
      </c>
      <c r="AI177" s="142" t="s">
        <v>934</v>
      </c>
      <c r="AJ177" s="142" t="s">
        <v>934</v>
      </c>
    </row>
    <row r="178" spans="1:36" ht="61.5" x14ac:dyDescent="0.85">
      <c r="A178" s="6">
        <v>1</v>
      </c>
      <c r="B178" s="66">
        <f>SUBTOTAL(103,$A$66:A178)</f>
        <v>95</v>
      </c>
      <c r="C178" s="146" t="s">
        <v>1579</v>
      </c>
      <c r="D178" s="145" t="s">
        <v>1491</v>
      </c>
      <c r="E178" s="69">
        <v>0.96160000000000001</v>
      </c>
      <c r="F178" s="31">
        <f>G178+H178+I178+J178+K178+L178+N178+P178+R178+T178+V178+W178+X178+Y178+Z178+AA178+AB178+AC178+AD178+AE178+AF178+AG178</f>
        <v>82303.180000000008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3">
        <v>0</v>
      </c>
      <c r="N178" s="31">
        <v>0</v>
      </c>
      <c r="O178" s="31">
        <v>1245.4000000000001</v>
      </c>
      <c r="P178" s="31">
        <v>81086.880000000005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f>ROUND(P178*1.5%,2)</f>
        <v>1216.3</v>
      </c>
      <c r="AF178" s="31">
        <v>0</v>
      </c>
      <c r="AG178" s="31">
        <v>0</v>
      </c>
      <c r="AH178" s="142" t="s">
        <v>274</v>
      </c>
      <c r="AI178" s="142">
        <v>2020</v>
      </c>
      <c r="AJ178" s="142">
        <v>2020</v>
      </c>
    </row>
    <row r="179" spans="1:36" ht="61.5" x14ac:dyDescent="0.85">
      <c r="A179" s="6">
        <v>1</v>
      </c>
      <c r="B179" s="66">
        <f>SUBTOTAL(103,$A$66:A179)</f>
        <v>96</v>
      </c>
      <c r="C179" s="146" t="s">
        <v>1580</v>
      </c>
      <c r="D179" s="145" t="s">
        <v>1103</v>
      </c>
      <c r="E179" s="69">
        <v>0.92120000000000002</v>
      </c>
      <c r="F179" s="31">
        <f>G179+H179+I179+J179+K179+L179+N179+P179+R179+T179+V179+W179+X179+Y179+Z179+AA179+AB179+AC179+AD179+AE179+AF179+AG179</f>
        <v>13519.03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3">
        <v>0</v>
      </c>
      <c r="N179" s="31">
        <v>0</v>
      </c>
      <c r="O179" s="31">
        <v>534.5</v>
      </c>
      <c r="P179" s="31">
        <v>13319.24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f>ROUND(P179*1.5%,2)</f>
        <v>199.79</v>
      </c>
      <c r="AF179" s="31">
        <v>0</v>
      </c>
      <c r="AG179" s="31">
        <v>0</v>
      </c>
      <c r="AH179" s="142" t="s">
        <v>274</v>
      </c>
      <c r="AI179" s="142">
        <v>2020</v>
      </c>
      <c r="AJ179" s="142">
        <v>2020</v>
      </c>
    </row>
    <row r="180" spans="1:36" ht="61.5" x14ac:dyDescent="0.85">
      <c r="A180" s="6">
        <v>1</v>
      </c>
      <c r="B180" s="66">
        <f>SUBTOTAL(103,$A$66:A180)</f>
        <v>97</v>
      </c>
      <c r="C180" s="146" t="s">
        <v>1581</v>
      </c>
      <c r="D180" s="145" t="s">
        <v>1103</v>
      </c>
      <c r="E180" s="69">
        <v>0.85540000000000005</v>
      </c>
      <c r="F180" s="31">
        <f>G180+H180+I180+J180+K180+L180+N180+P180+R180+T180+V180+W180+X180+Y180+Z180+AA180+AB180+AC180+AD180+AE180+AF180+AG180</f>
        <v>178357.44</v>
      </c>
      <c r="G180" s="31">
        <v>0</v>
      </c>
      <c r="H180" s="31">
        <v>0</v>
      </c>
      <c r="I180" s="31">
        <v>175721.62</v>
      </c>
      <c r="J180" s="31">
        <v>0</v>
      </c>
      <c r="K180" s="31">
        <v>0</v>
      </c>
      <c r="L180" s="31">
        <v>0</v>
      </c>
      <c r="M180" s="33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f>ROUND(I180*1.5%,2)</f>
        <v>2635.82</v>
      </c>
      <c r="AF180" s="31">
        <v>0</v>
      </c>
      <c r="AG180" s="31">
        <v>0</v>
      </c>
      <c r="AH180" s="142" t="s">
        <v>274</v>
      </c>
      <c r="AI180" s="142">
        <v>2020</v>
      </c>
      <c r="AJ180" s="142">
        <v>2020</v>
      </c>
    </row>
    <row r="181" spans="1:36" ht="61.5" x14ac:dyDescent="0.85">
      <c r="B181" s="150" t="s">
        <v>1362</v>
      </c>
      <c r="C181" s="146"/>
      <c r="D181" s="145" t="s">
        <v>934</v>
      </c>
      <c r="E181" s="69">
        <f>E182</f>
        <v>0.99180000000000001</v>
      </c>
      <c r="F181" s="31">
        <f>F182</f>
        <v>273035</v>
      </c>
      <c r="G181" s="31">
        <f t="shared" ref="G181:AG181" si="47">G182</f>
        <v>0</v>
      </c>
      <c r="H181" s="31">
        <f t="shared" si="47"/>
        <v>0</v>
      </c>
      <c r="I181" s="31">
        <f t="shared" si="47"/>
        <v>0</v>
      </c>
      <c r="J181" s="31">
        <f t="shared" si="47"/>
        <v>0</v>
      </c>
      <c r="K181" s="31">
        <f t="shared" si="47"/>
        <v>0</v>
      </c>
      <c r="L181" s="31">
        <f t="shared" si="47"/>
        <v>0</v>
      </c>
      <c r="M181" s="33">
        <f t="shared" si="47"/>
        <v>0</v>
      </c>
      <c r="N181" s="31">
        <f t="shared" si="47"/>
        <v>0</v>
      </c>
      <c r="O181" s="31">
        <f t="shared" si="47"/>
        <v>0</v>
      </c>
      <c r="P181" s="31">
        <f t="shared" si="47"/>
        <v>0</v>
      </c>
      <c r="Q181" s="31">
        <f t="shared" si="47"/>
        <v>0</v>
      </c>
      <c r="R181" s="31">
        <f t="shared" si="47"/>
        <v>0</v>
      </c>
      <c r="S181" s="31">
        <f t="shared" si="47"/>
        <v>488.11</v>
      </c>
      <c r="T181" s="31">
        <f t="shared" si="47"/>
        <v>269000</v>
      </c>
      <c r="U181" s="31">
        <f t="shared" si="47"/>
        <v>0</v>
      </c>
      <c r="V181" s="31">
        <f t="shared" si="47"/>
        <v>0</v>
      </c>
      <c r="W181" s="31">
        <f t="shared" si="47"/>
        <v>0</v>
      </c>
      <c r="X181" s="31">
        <f t="shared" si="47"/>
        <v>0</v>
      </c>
      <c r="Y181" s="31">
        <f t="shared" si="47"/>
        <v>0</v>
      </c>
      <c r="Z181" s="31">
        <f t="shared" si="47"/>
        <v>0</v>
      </c>
      <c r="AA181" s="31">
        <f t="shared" si="47"/>
        <v>0</v>
      </c>
      <c r="AB181" s="31">
        <f t="shared" si="47"/>
        <v>0</v>
      </c>
      <c r="AC181" s="31">
        <f t="shared" si="47"/>
        <v>0</v>
      </c>
      <c r="AD181" s="31">
        <f t="shared" si="47"/>
        <v>0</v>
      </c>
      <c r="AE181" s="31">
        <f t="shared" si="47"/>
        <v>4035</v>
      </c>
      <c r="AF181" s="31">
        <f t="shared" si="47"/>
        <v>0</v>
      </c>
      <c r="AG181" s="31">
        <f t="shared" si="47"/>
        <v>0</v>
      </c>
      <c r="AH181" s="142" t="s">
        <v>934</v>
      </c>
      <c r="AI181" s="142" t="s">
        <v>934</v>
      </c>
      <c r="AJ181" s="142" t="s">
        <v>934</v>
      </c>
    </row>
    <row r="182" spans="1:36" ht="61.5" x14ac:dyDescent="0.85">
      <c r="A182" s="6">
        <v>1</v>
      </c>
      <c r="B182" s="66">
        <f>SUBTOTAL(103,$A$66:A182)</f>
        <v>98</v>
      </c>
      <c r="C182" s="146" t="s">
        <v>1582</v>
      </c>
      <c r="D182" s="145" t="s">
        <v>1491</v>
      </c>
      <c r="E182" s="69">
        <v>0.99180000000000001</v>
      </c>
      <c r="F182" s="31">
        <f>G182+H182+I182+J182+K182+L182+N182+P182+R182+T182+V182+W182+X182+Y182+Z182+AA182+AB182+AC182+AD182+AE182+AF182+AG182</f>
        <v>273035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3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488.11</v>
      </c>
      <c r="T182" s="31">
        <v>269000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f>ROUND(T182*1.5%,2)</f>
        <v>4035</v>
      </c>
      <c r="AF182" s="31">
        <v>0</v>
      </c>
      <c r="AG182" s="31">
        <v>0</v>
      </c>
      <c r="AH182" s="142" t="s">
        <v>274</v>
      </c>
      <c r="AI182" s="142">
        <v>2020</v>
      </c>
      <c r="AJ182" s="142">
        <v>2020</v>
      </c>
    </row>
    <row r="183" spans="1:36" ht="61.5" x14ac:dyDescent="0.85">
      <c r="B183" s="150" t="s">
        <v>891</v>
      </c>
      <c r="C183" s="146"/>
      <c r="D183" s="145" t="s">
        <v>934</v>
      </c>
      <c r="E183" s="69">
        <f>E184</f>
        <v>1</v>
      </c>
      <c r="F183" s="31">
        <f>F184</f>
        <v>237510</v>
      </c>
      <c r="G183" s="31">
        <f t="shared" ref="G183:AG183" si="48">G184</f>
        <v>0</v>
      </c>
      <c r="H183" s="31">
        <f t="shared" si="48"/>
        <v>0</v>
      </c>
      <c r="I183" s="31">
        <f t="shared" si="48"/>
        <v>0</v>
      </c>
      <c r="J183" s="31">
        <f t="shared" si="48"/>
        <v>0</v>
      </c>
      <c r="K183" s="31">
        <f t="shared" si="48"/>
        <v>0</v>
      </c>
      <c r="L183" s="31">
        <f t="shared" si="48"/>
        <v>0</v>
      </c>
      <c r="M183" s="33">
        <f t="shared" si="48"/>
        <v>0</v>
      </c>
      <c r="N183" s="31">
        <f t="shared" si="48"/>
        <v>0</v>
      </c>
      <c r="O183" s="31">
        <f t="shared" si="48"/>
        <v>0</v>
      </c>
      <c r="P183" s="31">
        <f t="shared" si="48"/>
        <v>0</v>
      </c>
      <c r="Q183" s="31">
        <f t="shared" si="48"/>
        <v>0</v>
      </c>
      <c r="R183" s="31">
        <f t="shared" si="48"/>
        <v>0</v>
      </c>
      <c r="S183" s="31">
        <f t="shared" si="48"/>
        <v>370.88</v>
      </c>
      <c r="T183" s="31">
        <f t="shared" si="48"/>
        <v>234000</v>
      </c>
      <c r="U183" s="31">
        <f t="shared" si="48"/>
        <v>0</v>
      </c>
      <c r="V183" s="31">
        <f t="shared" si="48"/>
        <v>0</v>
      </c>
      <c r="W183" s="31">
        <f t="shared" si="48"/>
        <v>0</v>
      </c>
      <c r="X183" s="31">
        <f t="shared" si="48"/>
        <v>0</v>
      </c>
      <c r="Y183" s="31">
        <f t="shared" si="48"/>
        <v>0</v>
      </c>
      <c r="Z183" s="31">
        <f t="shared" si="48"/>
        <v>0</v>
      </c>
      <c r="AA183" s="31">
        <f t="shared" si="48"/>
        <v>0</v>
      </c>
      <c r="AB183" s="31">
        <f t="shared" si="48"/>
        <v>0</v>
      </c>
      <c r="AC183" s="31">
        <f t="shared" si="48"/>
        <v>0</v>
      </c>
      <c r="AD183" s="31">
        <f t="shared" si="48"/>
        <v>0</v>
      </c>
      <c r="AE183" s="31">
        <f t="shared" si="48"/>
        <v>3510</v>
      </c>
      <c r="AF183" s="31">
        <f t="shared" si="48"/>
        <v>0</v>
      </c>
      <c r="AG183" s="31">
        <f t="shared" si="48"/>
        <v>0</v>
      </c>
      <c r="AH183" s="142" t="s">
        <v>934</v>
      </c>
      <c r="AI183" s="142" t="s">
        <v>934</v>
      </c>
      <c r="AJ183" s="142" t="s">
        <v>934</v>
      </c>
    </row>
    <row r="184" spans="1:36" ht="61.5" x14ac:dyDescent="0.85">
      <c r="A184" s="6">
        <v>1</v>
      </c>
      <c r="B184" s="66">
        <f>SUBTOTAL(103,$A$66:A184)</f>
        <v>99</v>
      </c>
      <c r="C184" s="146" t="s">
        <v>1583</v>
      </c>
      <c r="D184" s="145" t="s">
        <v>1105</v>
      </c>
      <c r="E184" s="69">
        <v>1</v>
      </c>
      <c r="F184" s="31">
        <f>G184+H184+I184+J184+K184+L184+N184+P184+R184+T184+V184+W184+X184+Y184+Z184+AA184+AB184+AC184+AD184+AE184+AF184+AG184</f>
        <v>237510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3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370.88</v>
      </c>
      <c r="T184" s="31">
        <v>234000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f>ROUND(T184*1.5%,2)</f>
        <v>3510</v>
      </c>
      <c r="AF184" s="31">
        <v>0</v>
      </c>
      <c r="AG184" s="31">
        <v>0</v>
      </c>
      <c r="AH184" s="142" t="s">
        <v>274</v>
      </c>
      <c r="AI184" s="142">
        <v>2020</v>
      </c>
      <c r="AJ184" s="142">
        <v>2020</v>
      </c>
    </row>
    <row r="185" spans="1:36" ht="61.5" x14ac:dyDescent="0.85">
      <c r="B185" s="150" t="s">
        <v>879</v>
      </c>
      <c r="C185" s="146"/>
      <c r="D185" s="145" t="s">
        <v>934</v>
      </c>
      <c r="E185" s="69">
        <f>E186</f>
        <v>0.98829999999999996</v>
      </c>
      <c r="F185" s="31">
        <f>F186</f>
        <v>1114586.8</v>
      </c>
      <c r="G185" s="31">
        <f t="shared" ref="G185:AG185" si="49">G186</f>
        <v>0</v>
      </c>
      <c r="H185" s="31">
        <f t="shared" si="49"/>
        <v>0</v>
      </c>
      <c r="I185" s="31">
        <f t="shared" si="49"/>
        <v>0</v>
      </c>
      <c r="J185" s="31">
        <f t="shared" si="49"/>
        <v>0</v>
      </c>
      <c r="K185" s="31">
        <f t="shared" si="49"/>
        <v>0</v>
      </c>
      <c r="L185" s="31">
        <f t="shared" si="49"/>
        <v>0</v>
      </c>
      <c r="M185" s="33">
        <f t="shared" si="49"/>
        <v>0</v>
      </c>
      <c r="N185" s="31">
        <f t="shared" si="49"/>
        <v>0</v>
      </c>
      <c r="O185" s="31">
        <f t="shared" si="49"/>
        <v>400</v>
      </c>
      <c r="P185" s="31">
        <f t="shared" si="49"/>
        <v>1098115.07</v>
      </c>
      <c r="Q185" s="31">
        <f t="shared" si="49"/>
        <v>0</v>
      </c>
      <c r="R185" s="31">
        <f t="shared" si="49"/>
        <v>0</v>
      </c>
      <c r="S185" s="31">
        <f t="shared" si="49"/>
        <v>0</v>
      </c>
      <c r="T185" s="31">
        <f t="shared" si="49"/>
        <v>0</v>
      </c>
      <c r="U185" s="31">
        <f t="shared" si="49"/>
        <v>0</v>
      </c>
      <c r="V185" s="31">
        <f t="shared" si="49"/>
        <v>0</v>
      </c>
      <c r="W185" s="31">
        <f t="shared" si="49"/>
        <v>0</v>
      </c>
      <c r="X185" s="31">
        <f t="shared" si="49"/>
        <v>0</v>
      </c>
      <c r="Y185" s="31">
        <f t="shared" si="49"/>
        <v>0</v>
      </c>
      <c r="Z185" s="31">
        <f t="shared" si="49"/>
        <v>0</v>
      </c>
      <c r="AA185" s="31">
        <f t="shared" si="49"/>
        <v>0</v>
      </c>
      <c r="AB185" s="31">
        <f t="shared" si="49"/>
        <v>0</v>
      </c>
      <c r="AC185" s="31">
        <f t="shared" si="49"/>
        <v>0</v>
      </c>
      <c r="AD185" s="31">
        <f t="shared" si="49"/>
        <v>0</v>
      </c>
      <c r="AE185" s="31">
        <f t="shared" si="49"/>
        <v>16471.73</v>
      </c>
      <c r="AF185" s="31">
        <f t="shared" si="49"/>
        <v>0</v>
      </c>
      <c r="AG185" s="31">
        <f t="shared" si="49"/>
        <v>0</v>
      </c>
      <c r="AH185" s="142" t="s">
        <v>934</v>
      </c>
      <c r="AI185" s="142" t="s">
        <v>934</v>
      </c>
      <c r="AJ185" s="142" t="s">
        <v>934</v>
      </c>
    </row>
    <row r="186" spans="1:36" ht="61.5" x14ac:dyDescent="0.85">
      <c r="A186" s="6">
        <v>1</v>
      </c>
      <c r="B186" s="66">
        <f>SUBTOTAL(103,$A$66:A186)</f>
        <v>100</v>
      </c>
      <c r="C186" s="146" t="s">
        <v>1584</v>
      </c>
      <c r="D186" s="91" t="s">
        <v>1498</v>
      </c>
      <c r="E186" s="69">
        <v>0.98829999999999996</v>
      </c>
      <c r="F186" s="31">
        <f>G186+H186+I186+J186+K186+L186+N186+P186+R186+T186+V186+W186+X186+Y186+Z186+AA186+AB186+AC186+AD186+AE186+AF186+AG186</f>
        <v>1114586.8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3">
        <v>0</v>
      </c>
      <c r="N186" s="31">
        <v>0</v>
      </c>
      <c r="O186" s="31">
        <v>400</v>
      </c>
      <c r="P186" s="31">
        <v>1098115.07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f>ROUND(P186*1.5%,2)</f>
        <v>16471.73</v>
      </c>
      <c r="AF186" s="31">
        <v>0</v>
      </c>
      <c r="AG186" s="31">
        <v>0</v>
      </c>
      <c r="AH186" s="142" t="s">
        <v>274</v>
      </c>
      <c r="AI186" s="142">
        <v>2020</v>
      </c>
      <c r="AJ186" s="142">
        <v>2020</v>
      </c>
    </row>
    <row r="187" spans="1:36" ht="61.5" x14ac:dyDescent="0.85">
      <c r="B187" s="150" t="s">
        <v>884</v>
      </c>
      <c r="C187" s="146"/>
      <c r="D187" s="145" t="s">
        <v>934</v>
      </c>
      <c r="E187" s="69">
        <f>E188</f>
        <v>0.72670000000000001</v>
      </c>
      <c r="F187" s="31">
        <f>F188</f>
        <v>40586.949999999997</v>
      </c>
      <c r="G187" s="31">
        <f t="shared" ref="G187:AG187" si="50">G188</f>
        <v>0</v>
      </c>
      <c r="H187" s="31">
        <f t="shared" si="50"/>
        <v>0</v>
      </c>
      <c r="I187" s="31">
        <f t="shared" si="50"/>
        <v>0</v>
      </c>
      <c r="J187" s="31">
        <f t="shared" si="50"/>
        <v>0</v>
      </c>
      <c r="K187" s="31">
        <f t="shared" si="50"/>
        <v>0</v>
      </c>
      <c r="L187" s="31">
        <f t="shared" si="50"/>
        <v>0</v>
      </c>
      <c r="M187" s="33">
        <f t="shared" si="50"/>
        <v>0</v>
      </c>
      <c r="N187" s="31">
        <f t="shared" si="50"/>
        <v>0</v>
      </c>
      <c r="O187" s="31">
        <f t="shared" si="50"/>
        <v>651</v>
      </c>
      <c r="P187" s="31">
        <f t="shared" si="50"/>
        <v>39987.14</v>
      </c>
      <c r="Q187" s="31">
        <f t="shared" si="50"/>
        <v>0</v>
      </c>
      <c r="R187" s="31">
        <f t="shared" si="50"/>
        <v>0</v>
      </c>
      <c r="S187" s="31">
        <f t="shared" si="50"/>
        <v>0</v>
      </c>
      <c r="T187" s="31">
        <f t="shared" si="50"/>
        <v>0</v>
      </c>
      <c r="U187" s="31">
        <f t="shared" si="50"/>
        <v>0</v>
      </c>
      <c r="V187" s="31">
        <f t="shared" si="50"/>
        <v>0</v>
      </c>
      <c r="W187" s="31">
        <f t="shared" si="50"/>
        <v>0</v>
      </c>
      <c r="X187" s="31">
        <f t="shared" si="50"/>
        <v>0</v>
      </c>
      <c r="Y187" s="31">
        <f t="shared" si="50"/>
        <v>0</v>
      </c>
      <c r="Z187" s="31">
        <f t="shared" si="50"/>
        <v>0</v>
      </c>
      <c r="AA187" s="31">
        <f t="shared" si="50"/>
        <v>0</v>
      </c>
      <c r="AB187" s="31">
        <f t="shared" si="50"/>
        <v>0</v>
      </c>
      <c r="AC187" s="31">
        <f t="shared" si="50"/>
        <v>0</v>
      </c>
      <c r="AD187" s="31">
        <f t="shared" si="50"/>
        <v>0</v>
      </c>
      <c r="AE187" s="31">
        <f t="shared" si="50"/>
        <v>599.80999999999995</v>
      </c>
      <c r="AF187" s="31">
        <f t="shared" si="50"/>
        <v>0</v>
      </c>
      <c r="AG187" s="31">
        <f t="shared" si="50"/>
        <v>0</v>
      </c>
      <c r="AH187" s="142" t="s">
        <v>934</v>
      </c>
      <c r="AI187" s="142" t="s">
        <v>934</v>
      </c>
      <c r="AJ187" s="142" t="s">
        <v>934</v>
      </c>
    </row>
    <row r="188" spans="1:36" ht="61.5" x14ac:dyDescent="0.85">
      <c r="A188" s="6">
        <v>1</v>
      </c>
      <c r="B188" s="66">
        <f>SUBTOTAL(103,$A$66:A188)</f>
        <v>101</v>
      </c>
      <c r="C188" s="146" t="s">
        <v>1585</v>
      </c>
      <c r="D188" s="91" t="s">
        <v>1106</v>
      </c>
      <c r="E188" s="69">
        <v>0.72670000000000001</v>
      </c>
      <c r="F188" s="31">
        <f>G188+H188+I188+J188+K188+L188+N188+P188+R188+T188+V188+W188+X188+Y188+Z188+AA188+AB188+AC188+AD188+AE188+AF188+AG188</f>
        <v>40586.949999999997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3">
        <v>0</v>
      </c>
      <c r="N188" s="31">
        <v>0</v>
      </c>
      <c r="O188" s="31">
        <v>651</v>
      </c>
      <c r="P188" s="31">
        <v>39987.14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f>ROUND(P188*1.5%,2)</f>
        <v>599.80999999999995</v>
      </c>
      <c r="AF188" s="31">
        <v>0</v>
      </c>
      <c r="AG188" s="31">
        <v>0</v>
      </c>
      <c r="AH188" s="142" t="s">
        <v>274</v>
      </c>
      <c r="AI188" s="142">
        <v>2020</v>
      </c>
      <c r="AJ188" s="142">
        <v>2020</v>
      </c>
    </row>
    <row r="189" spans="1:36" ht="61.5" x14ac:dyDescent="0.85">
      <c r="B189" s="150" t="s">
        <v>899</v>
      </c>
      <c r="C189" s="146"/>
      <c r="D189" s="145" t="s">
        <v>934</v>
      </c>
      <c r="E189" s="69">
        <f>E190</f>
        <v>0.98380000000000001</v>
      </c>
      <c r="F189" s="31">
        <f>F190</f>
        <v>48720</v>
      </c>
      <c r="G189" s="31">
        <f t="shared" ref="G189:AG189" si="51">G190</f>
        <v>0</v>
      </c>
      <c r="H189" s="31">
        <f t="shared" si="51"/>
        <v>0</v>
      </c>
      <c r="I189" s="31">
        <f t="shared" si="51"/>
        <v>0</v>
      </c>
      <c r="J189" s="31">
        <f t="shared" si="51"/>
        <v>0</v>
      </c>
      <c r="K189" s="31">
        <f t="shared" si="51"/>
        <v>0</v>
      </c>
      <c r="L189" s="31">
        <f t="shared" si="51"/>
        <v>0</v>
      </c>
      <c r="M189" s="33">
        <f t="shared" si="51"/>
        <v>0</v>
      </c>
      <c r="N189" s="31">
        <f t="shared" si="51"/>
        <v>0</v>
      </c>
      <c r="O189" s="31">
        <f t="shared" si="51"/>
        <v>762</v>
      </c>
      <c r="P189" s="31">
        <f t="shared" si="51"/>
        <v>48000</v>
      </c>
      <c r="Q189" s="31">
        <f t="shared" si="51"/>
        <v>0</v>
      </c>
      <c r="R189" s="31">
        <f t="shared" si="51"/>
        <v>0</v>
      </c>
      <c r="S189" s="31">
        <f t="shared" si="51"/>
        <v>0</v>
      </c>
      <c r="T189" s="31">
        <f t="shared" si="51"/>
        <v>0</v>
      </c>
      <c r="U189" s="31">
        <f t="shared" si="51"/>
        <v>0</v>
      </c>
      <c r="V189" s="31">
        <f t="shared" si="51"/>
        <v>0</v>
      </c>
      <c r="W189" s="31">
        <f t="shared" si="51"/>
        <v>0</v>
      </c>
      <c r="X189" s="31">
        <f t="shared" si="51"/>
        <v>0</v>
      </c>
      <c r="Y189" s="31">
        <f t="shared" si="51"/>
        <v>0</v>
      </c>
      <c r="Z189" s="31">
        <f t="shared" si="51"/>
        <v>0</v>
      </c>
      <c r="AA189" s="31">
        <f t="shared" si="51"/>
        <v>0</v>
      </c>
      <c r="AB189" s="31">
        <f t="shared" si="51"/>
        <v>0</v>
      </c>
      <c r="AC189" s="31">
        <f t="shared" si="51"/>
        <v>0</v>
      </c>
      <c r="AD189" s="31">
        <f t="shared" si="51"/>
        <v>0</v>
      </c>
      <c r="AE189" s="31">
        <f t="shared" si="51"/>
        <v>720</v>
      </c>
      <c r="AF189" s="31">
        <f t="shared" si="51"/>
        <v>0</v>
      </c>
      <c r="AG189" s="31">
        <f t="shared" si="51"/>
        <v>0</v>
      </c>
      <c r="AH189" s="142" t="s">
        <v>934</v>
      </c>
      <c r="AI189" s="142" t="s">
        <v>934</v>
      </c>
      <c r="AJ189" s="142" t="s">
        <v>934</v>
      </c>
    </row>
    <row r="190" spans="1:36" ht="61.5" x14ac:dyDescent="0.85">
      <c r="A190" s="6">
        <v>1</v>
      </c>
      <c r="B190" s="66">
        <f>SUBTOTAL(103,$A$66:A190)</f>
        <v>102</v>
      </c>
      <c r="C190" s="146" t="s">
        <v>1586</v>
      </c>
      <c r="D190" s="91" t="s">
        <v>1103</v>
      </c>
      <c r="E190" s="69">
        <v>0.98380000000000001</v>
      </c>
      <c r="F190" s="31">
        <f>G190+H190+I190+J190+K190+L190+N190+P190+R190+T190+V190+W190+X190+Y190+Z190+AA190+AB190+AC190+AD190+AE190+AF190+AG190</f>
        <v>48720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3">
        <v>0</v>
      </c>
      <c r="N190" s="31">
        <v>0</v>
      </c>
      <c r="O190" s="31">
        <v>762</v>
      </c>
      <c r="P190" s="31">
        <v>48000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v>0</v>
      </c>
      <c r="AD190" s="31">
        <v>0</v>
      </c>
      <c r="AE190" s="31">
        <f>ROUND(P190*1.5%,2)</f>
        <v>720</v>
      </c>
      <c r="AF190" s="31">
        <v>0</v>
      </c>
      <c r="AG190" s="31">
        <v>0</v>
      </c>
      <c r="AH190" s="142" t="s">
        <v>274</v>
      </c>
      <c r="AI190" s="142">
        <v>2020</v>
      </c>
      <c r="AJ190" s="142">
        <v>2020</v>
      </c>
    </row>
    <row r="191" spans="1:36" ht="61.5" x14ac:dyDescent="0.85">
      <c r="B191" s="150" t="s">
        <v>877</v>
      </c>
      <c r="C191" s="146"/>
      <c r="D191" s="145" t="s">
        <v>934</v>
      </c>
      <c r="E191" s="69">
        <f>E192</f>
        <v>0.96889999999999998</v>
      </c>
      <c r="F191" s="31">
        <f>F192</f>
        <v>8028.65</v>
      </c>
      <c r="G191" s="31">
        <f t="shared" ref="G191:AG191" si="52">G192</f>
        <v>0</v>
      </c>
      <c r="H191" s="31">
        <f t="shared" si="52"/>
        <v>0</v>
      </c>
      <c r="I191" s="31">
        <f t="shared" si="52"/>
        <v>0</v>
      </c>
      <c r="J191" s="31">
        <f t="shared" si="52"/>
        <v>0</v>
      </c>
      <c r="K191" s="31">
        <f t="shared" si="52"/>
        <v>0</v>
      </c>
      <c r="L191" s="31">
        <f t="shared" si="52"/>
        <v>0</v>
      </c>
      <c r="M191" s="33">
        <f t="shared" si="52"/>
        <v>0</v>
      </c>
      <c r="N191" s="31">
        <f t="shared" si="52"/>
        <v>0</v>
      </c>
      <c r="O191" s="31">
        <f t="shared" si="52"/>
        <v>981.6</v>
      </c>
      <c r="P191" s="31">
        <f t="shared" si="52"/>
        <v>7910</v>
      </c>
      <c r="Q191" s="31">
        <f t="shared" si="52"/>
        <v>0</v>
      </c>
      <c r="R191" s="31">
        <f t="shared" si="52"/>
        <v>0</v>
      </c>
      <c r="S191" s="31">
        <f t="shared" si="52"/>
        <v>0</v>
      </c>
      <c r="T191" s="31">
        <f t="shared" si="52"/>
        <v>0</v>
      </c>
      <c r="U191" s="31">
        <f t="shared" si="52"/>
        <v>0</v>
      </c>
      <c r="V191" s="31">
        <f t="shared" si="52"/>
        <v>0</v>
      </c>
      <c r="W191" s="31">
        <f t="shared" si="52"/>
        <v>0</v>
      </c>
      <c r="X191" s="31">
        <f t="shared" si="52"/>
        <v>0</v>
      </c>
      <c r="Y191" s="31">
        <f t="shared" si="52"/>
        <v>0</v>
      </c>
      <c r="Z191" s="31">
        <f t="shared" si="52"/>
        <v>0</v>
      </c>
      <c r="AA191" s="31">
        <f t="shared" si="52"/>
        <v>0</v>
      </c>
      <c r="AB191" s="31">
        <f t="shared" si="52"/>
        <v>0</v>
      </c>
      <c r="AC191" s="31">
        <f t="shared" si="52"/>
        <v>0</v>
      </c>
      <c r="AD191" s="31">
        <f t="shared" si="52"/>
        <v>0</v>
      </c>
      <c r="AE191" s="31">
        <f t="shared" si="52"/>
        <v>118.65</v>
      </c>
      <c r="AF191" s="31">
        <f t="shared" si="52"/>
        <v>0</v>
      </c>
      <c r="AG191" s="31">
        <f t="shared" si="52"/>
        <v>0</v>
      </c>
      <c r="AH191" s="142" t="s">
        <v>934</v>
      </c>
      <c r="AI191" s="142" t="s">
        <v>934</v>
      </c>
      <c r="AJ191" s="142" t="s">
        <v>934</v>
      </c>
    </row>
    <row r="192" spans="1:36" ht="61.5" x14ac:dyDescent="0.85">
      <c r="A192" s="6">
        <v>1</v>
      </c>
      <c r="B192" s="66">
        <f>SUBTOTAL(103,$A$66:A192)</f>
        <v>103</v>
      </c>
      <c r="C192" s="146" t="s">
        <v>1594</v>
      </c>
      <c r="D192" s="91" t="s">
        <v>1103</v>
      </c>
      <c r="E192" s="69">
        <v>0.96889999999999998</v>
      </c>
      <c r="F192" s="31">
        <f>G192+H192+I192+J192+K192+L192+N192+P192+R192+T192+V192+W192+X192+Y192+Z192+AA192+AB192+AC192+AD192+AE192+AF192+AG192</f>
        <v>8028.65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3">
        <v>0</v>
      </c>
      <c r="N192" s="31">
        <v>0</v>
      </c>
      <c r="O192" s="31">
        <v>981.6</v>
      </c>
      <c r="P192" s="31">
        <v>7910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v>0</v>
      </c>
      <c r="AD192" s="31">
        <v>0</v>
      </c>
      <c r="AE192" s="31">
        <f>ROUND(P192*1.5%,2)</f>
        <v>118.65</v>
      </c>
      <c r="AF192" s="31">
        <v>0</v>
      </c>
      <c r="AG192" s="31">
        <v>0</v>
      </c>
      <c r="AH192" s="142" t="s">
        <v>274</v>
      </c>
      <c r="AI192" s="142">
        <v>2020</v>
      </c>
      <c r="AJ192" s="142">
        <v>2020</v>
      </c>
    </row>
    <row r="193" spans="1:36" ht="61.5" x14ac:dyDescent="0.85">
      <c r="B193" s="150" t="s">
        <v>882</v>
      </c>
      <c r="C193" s="146"/>
      <c r="D193" s="145" t="s">
        <v>934</v>
      </c>
      <c r="E193" s="69">
        <f>AVERAGE(E194:E195)</f>
        <v>0.83830000000000005</v>
      </c>
      <c r="F193" s="31">
        <f>F194+F195</f>
        <v>180508.62</v>
      </c>
      <c r="G193" s="31">
        <f t="shared" ref="G193:AG193" si="53">G194+G195</f>
        <v>0</v>
      </c>
      <c r="H193" s="31">
        <f t="shared" si="53"/>
        <v>0</v>
      </c>
      <c r="I193" s="31">
        <f t="shared" si="53"/>
        <v>0</v>
      </c>
      <c r="J193" s="31">
        <f t="shared" si="53"/>
        <v>0</v>
      </c>
      <c r="K193" s="31">
        <f t="shared" si="53"/>
        <v>0</v>
      </c>
      <c r="L193" s="31">
        <f t="shared" si="53"/>
        <v>0</v>
      </c>
      <c r="M193" s="33">
        <f t="shared" si="53"/>
        <v>0</v>
      </c>
      <c r="N193" s="31">
        <f t="shared" si="53"/>
        <v>0</v>
      </c>
      <c r="O193" s="31">
        <f t="shared" si="53"/>
        <v>949</v>
      </c>
      <c r="P193" s="31">
        <f t="shared" si="53"/>
        <v>177841</v>
      </c>
      <c r="Q193" s="31">
        <f t="shared" si="53"/>
        <v>0</v>
      </c>
      <c r="R193" s="31">
        <f t="shared" si="53"/>
        <v>0</v>
      </c>
      <c r="S193" s="31">
        <f t="shared" si="53"/>
        <v>0</v>
      </c>
      <c r="T193" s="31">
        <f t="shared" si="53"/>
        <v>0</v>
      </c>
      <c r="U193" s="31">
        <f t="shared" si="53"/>
        <v>0</v>
      </c>
      <c r="V193" s="31">
        <f t="shared" si="53"/>
        <v>0</v>
      </c>
      <c r="W193" s="31">
        <f t="shared" si="53"/>
        <v>0</v>
      </c>
      <c r="X193" s="31">
        <f t="shared" si="53"/>
        <v>0</v>
      </c>
      <c r="Y193" s="31">
        <f t="shared" si="53"/>
        <v>0</v>
      </c>
      <c r="Z193" s="31">
        <f t="shared" si="53"/>
        <v>0</v>
      </c>
      <c r="AA193" s="31">
        <f t="shared" si="53"/>
        <v>0</v>
      </c>
      <c r="AB193" s="31">
        <f t="shared" si="53"/>
        <v>0</v>
      </c>
      <c r="AC193" s="31">
        <f t="shared" si="53"/>
        <v>0</v>
      </c>
      <c r="AD193" s="31">
        <f t="shared" si="53"/>
        <v>0</v>
      </c>
      <c r="AE193" s="31">
        <f t="shared" si="53"/>
        <v>2667.62</v>
      </c>
      <c r="AF193" s="31">
        <f t="shared" si="53"/>
        <v>0</v>
      </c>
      <c r="AG193" s="31">
        <f t="shared" si="53"/>
        <v>0</v>
      </c>
      <c r="AH193" s="142" t="s">
        <v>934</v>
      </c>
      <c r="AI193" s="142" t="s">
        <v>934</v>
      </c>
      <c r="AJ193" s="142" t="s">
        <v>934</v>
      </c>
    </row>
    <row r="194" spans="1:36" ht="61.5" x14ac:dyDescent="0.85">
      <c r="A194" s="6">
        <v>1</v>
      </c>
      <c r="B194" s="66">
        <f>SUBTOTAL(103,$A$66:A194)</f>
        <v>104</v>
      </c>
      <c r="C194" s="146" t="s">
        <v>1595</v>
      </c>
      <c r="D194" s="91" t="s">
        <v>1103</v>
      </c>
      <c r="E194" s="69">
        <v>0.75480000000000003</v>
      </c>
      <c r="F194" s="31">
        <f>G194+H194+I194+J194+K194+L194+N194+P194+R194+T194+V194+W194+X194+Y194+Z194+AA194+AB194+AC194+AD194+AE194+AF194+AG194</f>
        <v>103408.2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3">
        <v>0</v>
      </c>
      <c r="N194" s="31">
        <v>0</v>
      </c>
      <c r="O194" s="31">
        <v>577</v>
      </c>
      <c r="P194" s="31">
        <v>101880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f>ROUND(P194*1.5%,2)</f>
        <v>1528.2</v>
      </c>
      <c r="AF194" s="31">
        <v>0</v>
      </c>
      <c r="AG194" s="31">
        <v>0</v>
      </c>
      <c r="AH194" s="142" t="s">
        <v>274</v>
      </c>
      <c r="AI194" s="142">
        <v>2020</v>
      </c>
      <c r="AJ194" s="142">
        <v>2020</v>
      </c>
    </row>
    <row r="195" spans="1:36" ht="61.5" x14ac:dyDescent="0.85">
      <c r="A195" s="6">
        <v>1</v>
      </c>
      <c r="B195" s="66">
        <f>SUBTOTAL(103,$A$66:A195)</f>
        <v>105</v>
      </c>
      <c r="C195" s="146" t="s">
        <v>1596</v>
      </c>
      <c r="D195" s="91" t="s">
        <v>1103</v>
      </c>
      <c r="E195" s="69">
        <v>0.92179999999999995</v>
      </c>
      <c r="F195" s="31">
        <f>G195+H195+I195+J195+K195+L195+N195+P195+R195+T195+V195+W195+X195+Y195+Z195+AA195+AB195+AC195+AD195+AE195+AF195+AG195</f>
        <v>77100.42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3">
        <v>0</v>
      </c>
      <c r="N195" s="31">
        <v>0</v>
      </c>
      <c r="O195" s="31">
        <v>372</v>
      </c>
      <c r="P195" s="31">
        <v>75961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f>ROUND(P195*1.5%,2)</f>
        <v>1139.42</v>
      </c>
      <c r="AF195" s="31">
        <v>0</v>
      </c>
      <c r="AG195" s="31">
        <v>0</v>
      </c>
      <c r="AH195" s="142" t="s">
        <v>274</v>
      </c>
      <c r="AI195" s="142">
        <v>2020</v>
      </c>
      <c r="AJ195" s="142">
        <v>2020</v>
      </c>
    </row>
    <row r="196" spans="1:36" ht="61.5" x14ac:dyDescent="0.85">
      <c r="B196" s="150" t="s">
        <v>1112</v>
      </c>
      <c r="C196" s="146"/>
      <c r="D196" s="145" t="s">
        <v>934</v>
      </c>
      <c r="E196" s="69">
        <f t="shared" ref="E196:P196" si="54">E197</f>
        <v>0.93410000000000004</v>
      </c>
      <c r="F196" s="31">
        <f t="shared" si="54"/>
        <v>10150</v>
      </c>
      <c r="G196" s="31">
        <f t="shared" si="54"/>
        <v>0</v>
      </c>
      <c r="H196" s="31">
        <f t="shared" si="54"/>
        <v>0</v>
      </c>
      <c r="I196" s="31">
        <f t="shared" si="54"/>
        <v>0</v>
      </c>
      <c r="J196" s="31">
        <f t="shared" si="54"/>
        <v>0</v>
      </c>
      <c r="K196" s="31">
        <f t="shared" si="54"/>
        <v>0</v>
      </c>
      <c r="L196" s="31">
        <f t="shared" si="54"/>
        <v>0</v>
      </c>
      <c r="M196" s="33">
        <f t="shared" si="54"/>
        <v>0</v>
      </c>
      <c r="N196" s="31">
        <f t="shared" si="54"/>
        <v>0</v>
      </c>
      <c r="O196" s="31">
        <f t="shared" si="54"/>
        <v>429.6</v>
      </c>
      <c r="P196" s="31">
        <f t="shared" si="54"/>
        <v>10000</v>
      </c>
      <c r="Q196" s="31">
        <f t="shared" ref="Q196:AG196" si="55">Q197</f>
        <v>0</v>
      </c>
      <c r="R196" s="31">
        <f t="shared" si="55"/>
        <v>0</v>
      </c>
      <c r="S196" s="31">
        <f t="shared" si="55"/>
        <v>0</v>
      </c>
      <c r="T196" s="31">
        <f t="shared" si="55"/>
        <v>0</v>
      </c>
      <c r="U196" s="31">
        <f t="shared" si="55"/>
        <v>0</v>
      </c>
      <c r="V196" s="31">
        <f t="shared" si="55"/>
        <v>0</v>
      </c>
      <c r="W196" s="31">
        <f t="shared" si="55"/>
        <v>0</v>
      </c>
      <c r="X196" s="31">
        <f t="shared" si="55"/>
        <v>0</v>
      </c>
      <c r="Y196" s="31">
        <f t="shared" si="55"/>
        <v>0</v>
      </c>
      <c r="Z196" s="31">
        <f t="shared" si="55"/>
        <v>0</v>
      </c>
      <c r="AA196" s="31">
        <f t="shared" si="55"/>
        <v>0</v>
      </c>
      <c r="AB196" s="31">
        <f t="shared" si="55"/>
        <v>0</v>
      </c>
      <c r="AC196" s="31">
        <f t="shared" si="55"/>
        <v>0</v>
      </c>
      <c r="AD196" s="31">
        <f t="shared" si="55"/>
        <v>0</v>
      </c>
      <c r="AE196" s="31">
        <f t="shared" si="55"/>
        <v>150</v>
      </c>
      <c r="AF196" s="31">
        <f t="shared" si="55"/>
        <v>0</v>
      </c>
      <c r="AG196" s="31">
        <f t="shared" si="55"/>
        <v>0</v>
      </c>
      <c r="AH196" s="142" t="s">
        <v>934</v>
      </c>
      <c r="AI196" s="142" t="s">
        <v>934</v>
      </c>
      <c r="AJ196" s="142" t="s">
        <v>934</v>
      </c>
    </row>
    <row r="197" spans="1:36" ht="61.5" x14ac:dyDescent="0.85">
      <c r="A197" s="6">
        <v>1</v>
      </c>
      <c r="B197" s="66">
        <f>SUBTOTAL(103,$A$66:A197)</f>
        <v>106</v>
      </c>
      <c r="C197" s="146" t="s">
        <v>1694</v>
      </c>
      <c r="D197" s="91" t="s">
        <v>1484</v>
      </c>
      <c r="E197" s="69">
        <v>0.93410000000000004</v>
      </c>
      <c r="F197" s="31">
        <f>G197+H197+I197+J197+K197+L197+N197+P197+R197+T197+V197+W197+X197+Y197+Z197+AA197+AB197+AC197+AD197+AE197+AF197+AG197</f>
        <v>10150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3">
        <v>0</v>
      </c>
      <c r="N197" s="31">
        <v>0</v>
      </c>
      <c r="O197" s="31">
        <v>429.6</v>
      </c>
      <c r="P197" s="31">
        <v>10000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f>ROUND(P197*1.5%,2)</f>
        <v>150</v>
      </c>
      <c r="AF197" s="31">
        <v>0</v>
      </c>
      <c r="AG197" s="31">
        <v>0</v>
      </c>
      <c r="AH197" s="142" t="s">
        <v>274</v>
      </c>
      <c r="AI197" s="142">
        <v>2020</v>
      </c>
      <c r="AJ197" s="142">
        <v>2020</v>
      </c>
    </row>
  </sheetData>
  <mergeCells count="34">
    <mergeCell ref="B64:C64"/>
    <mergeCell ref="B63:AJ63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J5:AJ8"/>
    <mergeCell ref="O6:P7"/>
    <mergeCell ref="Q6:R7"/>
    <mergeCell ref="AI5:AI8"/>
    <mergeCell ref="B10:AJ10"/>
    <mergeCell ref="W6:W7"/>
    <mergeCell ref="S6:T7"/>
    <mergeCell ref="M6:N7"/>
    <mergeCell ref="G6:L6"/>
    <mergeCell ref="U6:V7"/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</mergeCells>
  <phoneticPr fontId="44" type="noConversion"/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3"/>
  <sheetViews>
    <sheetView tabSelected="1" topLeftCell="B1" zoomScale="30" zoomScaleNormal="30" workbookViewId="0">
      <selection activeCell="W21" sqref="W21"/>
    </sheetView>
  </sheetViews>
  <sheetFormatPr defaultRowHeight="15" x14ac:dyDescent="0.25"/>
  <cols>
    <col min="1" max="1" width="9.140625" style="6" hidden="1" customWidth="1"/>
    <col min="2" max="2" width="15.85546875" style="6" customWidth="1"/>
    <col min="3" max="3" width="219.85546875" style="6" customWidth="1"/>
    <col min="4" max="4" width="21.42578125" style="6" customWidth="1"/>
    <col min="5" max="5" width="14.85546875" style="6" customWidth="1"/>
    <col min="6" max="6" width="74.28515625" style="6" customWidth="1"/>
    <col min="7" max="7" width="12.85546875" style="6" customWidth="1"/>
    <col min="8" max="8" width="13.85546875" style="6" customWidth="1"/>
    <col min="9" max="9" width="31.140625" style="6" customWidth="1"/>
    <col min="10" max="10" width="32.28515625" style="6" customWidth="1"/>
    <col min="11" max="11" width="32.5703125" style="6" customWidth="1"/>
    <col min="12" max="12" width="32.85546875" style="6" customWidth="1"/>
    <col min="13" max="13" width="42.28515625" style="6" customWidth="1"/>
    <col min="14" max="14" width="95.28515625" style="6" customWidth="1"/>
    <col min="15" max="15" width="45.5703125" style="6" customWidth="1"/>
    <col min="16" max="16" width="29.85546875" style="6" customWidth="1"/>
    <col min="17" max="17" width="25.5703125" style="6" customWidth="1"/>
    <col min="18" max="16384" width="9.140625" style="6"/>
  </cols>
  <sheetData>
    <row r="1" spans="1:17" ht="35.25" x14ac:dyDescent="0.5">
      <c r="B1" s="56"/>
      <c r="C1" s="56"/>
      <c r="D1" s="56"/>
      <c r="E1" s="56"/>
      <c r="F1" s="56"/>
      <c r="G1" s="57"/>
      <c r="H1" s="56"/>
      <c r="I1" s="56"/>
      <c r="J1" s="56"/>
      <c r="K1" s="56"/>
      <c r="L1" s="56"/>
      <c r="M1" s="111"/>
      <c r="N1" s="111"/>
      <c r="O1" s="253" t="s">
        <v>1116</v>
      </c>
      <c r="P1" s="253"/>
      <c r="Q1" s="253"/>
    </row>
    <row r="2" spans="1:17" ht="71.25" customHeight="1" x14ac:dyDescent="0.5">
      <c r="B2" s="56"/>
      <c r="C2" s="56"/>
      <c r="D2" s="56"/>
      <c r="E2" s="56"/>
      <c r="F2" s="56"/>
      <c r="G2" s="57"/>
      <c r="H2" s="56"/>
      <c r="I2" s="56"/>
      <c r="J2" s="56"/>
      <c r="K2" s="56"/>
      <c r="L2" s="56"/>
      <c r="M2" s="58"/>
      <c r="N2" s="254" t="s">
        <v>1117</v>
      </c>
      <c r="O2" s="254"/>
      <c r="P2" s="254"/>
      <c r="Q2" s="254"/>
    </row>
    <row r="3" spans="1:17" ht="201.75" customHeight="1" x14ac:dyDescent="0.25">
      <c r="B3" s="255" t="s">
        <v>1122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</row>
    <row r="4" spans="1:17" ht="35.25" x14ac:dyDescent="0.25">
      <c r="B4" s="256" t="s">
        <v>6</v>
      </c>
      <c r="C4" s="256" t="s">
        <v>1118</v>
      </c>
      <c r="D4" s="256" t="s">
        <v>254</v>
      </c>
      <c r="E4" s="245"/>
      <c r="F4" s="244" t="s">
        <v>255</v>
      </c>
      <c r="G4" s="247" t="s">
        <v>256</v>
      </c>
      <c r="H4" s="247" t="s">
        <v>257</v>
      </c>
      <c r="I4" s="244" t="s">
        <v>258</v>
      </c>
      <c r="J4" s="256" t="s">
        <v>259</v>
      </c>
      <c r="K4" s="245"/>
      <c r="L4" s="259" t="s">
        <v>1119</v>
      </c>
      <c r="M4" s="259" t="s">
        <v>1120</v>
      </c>
      <c r="N4" s="259" t="s">
        <v>260</v>
      </c>
      <c r="O4" s="239" t="s">
        <v>8</v>
      </c>
      <c r="P4" s="242" t="s">
        <v>262</v>
      </c>
      <c r="Q4" s="242" t="s">
        <v>263</v>
      </c>
    </row>
    <row r="5" spans="1:17" x14ac:dyDescent="0.25">
      <c r="B5" s="245"/>
      <c r="C5" s="245"/>
      <c r="D5" s="244" t="s">
        <v>264</v>
      </c>
      <c r="E5" s="247" t="s">
        <v>265</v>
      </c>
      <c r="F5" s="245"/>
      <c r="G5" s="257"/>
      <c r="H5" s="257"/>
      <c r="I5" s="245"/>
      <c r="J5" s="244" t="s">
        <v>266</v>
      </c>
      <c r="K5" s="247" t="s">
        <v>1121</v>
      </c>
      <c r="L5" s="260"/>
      <c r="M5" s="262"/>
      <c r="N5" s="262"/>
      <c r="O5" s="240"/>
      <c r="P5" s="243"/>
      <c r="Q5" s="243"/>
    </row>
    <row r="6" spans="1:17" ht="301.5" customHeight="1" x14ac:dyDescent="0.25">
      <c r="B6" s="245"/>
      <c r="C6" s="245"/>
      <c r="D6" s="245"/>
      <c r="E6" s="240"/>
      <c r="F6" s="245"/>
      <c r="G6" s="257"/>
      <c r="H6" s="257"/>
      <c r="I6" s="245"/>
      <c r="J6" s="245"/>
      <c r="K6" s="249"/>
      <c r="L6" s="261"/>
      <c r="M6" s="262"/>
      <c r="N6" s="262"/>
      <c r="O6" s="241"/>
      <c r="P6" s="243"/>
      <c r="Q6" s="243"/>
    </row>
    <row r="7" spans="1:17" ht="35.25" x14ac:dyDescent="0.25">
      <c r="B7" s="246"/>
      <c r="C7" s="246"/>
      <c r="D7" s="246"/>
      <c r="E7" s="248"/>
      <c r="F7" s="245"/>
      <c r="G7" s="258"/>
      <c r="H7" s="258"/>
      <c r="I7" s="59" t="s">
        <v>38</v>
      </c>
      <c r="J7" s="59" t="s">
        <v>38</v>
      </c>
      <c r="K7" s="59" t="s">
        <v>38</v>
      </c>
      <c r="L7" s="59" t="s">
        <v>269</v>
      </c>
      <c r="M7" s="263"/>
      <c r="N7" s="263"/>
      <c r="O7" s="59" t="s">
        <v>36</v>
      </c>
      <c r="P7" s="59" t="s">
        <v>270</v>
      </c>
      <c r="Q7" s="59" t="s">
        <v>270</v>
      </c>
    </row>
    <row r="8" spans="1:17" ht="35.25" x14ac:dyDescent="0.25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60">
        <v>5.5697674418604599</v>
      </c>
      <c r="H8" s="60">
        <v>7</v>
      </c>
      <c r="I8" s="60">
        <v>8</v>
      </c>
      <c r="J8" s="60">
        <v>9</v>
      </c>
      <c r="K8" s="60">
        <v>10</v>
      </c>
      <c r="L8" s="59">
        <v>11</v>
      </c>
      <c r="M8" s="60">
        <v>12</v>
      </c>
      <c r="N8" s="60">
        <v>13</v>
      </c>
      <c r="O8" s="60">
        <v>14</v>
      </c>
      <c r="P8" s="60">
        <v>15</v>
      </c>
      <c r="Q8" s="60">
        <v>16</v>
      </c>
    </row>
    <row r="9" spans="1:17" ht="45.75" x14ac:dyDescent="0.25">
      <c r="B9" s="250" t="s">
        <v>1081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2"/>
    </row>
    <row r="10" spans="1:17" ht="35.25" x14ac:dyDescent="0.4">
      <c r="B10" s="102" t="s">
        <v>1115</v>
      </c>
      <c r="C10" s="103"/>
      <c r="D10" s="98" t="s">
        <v>934</v>
      </c>
      <c r="E10" s="98" t="s">
        <v>934</v>
      </c>
      <c r="F10" s="98" t="s">
        <v>934</v>
      </c>
      <c r="G10" s="98" t="s">
        <v>934</v>
      </c>
      <c r="H10" s="98" t="s">
        <v>934</v>
      </c>
      <c r="I10" s="100">
        <f>I11+I13+I22+I26+I28+I31+I34+I38+I40+I42+I46+I48+I50+I52+I56+I24+I58+I60</f>
        <v>30909.18</v>
      </c>
      <c r="J10" s="100">
        <f>J11+J13+J22+J26+J28+J31+J34+J38+J40+J42+J46+J48+J50+J52+J56+J24+J58+J60</f>
        <v>23746.31</v>
      </c>
      <c r="K10" s="100">
        <f>K11+K13+K22+K26+K28+K31+K34+K38+K40+K42+K46+K48+K50+K52+K56+K24+K58+K60</f>
        <v>21066.809999999994</v>
      </c>
      <c r="L10" s="105">
        <f>L11+L13+L22+L26+L28+L31+L34+L38+L40+L42+L46+L48+L50+L52+L56+L24+L58+L60</f>
        <v>1298</v>
      </c>
      <c r="M10" s="98" t="s">
        <v>934</v>
      </c>
      <c r="N10" s="98" t="s">
        <v>934</v>
      </c>
      <c r="O10" s="100">
        <v>81923279.867684737</v>
      </c>
      <c r="P10" s="99">
        <f>O10/I10</f>
        <v>2650.4514150063101</v>
      </c>
      <c r="Q10" s="99">
        <f>MAX(Q11:Q61)</f>
        <v>9248.7839729119642</v>
      </c>
    </row>
    <row r="11" spans="1:17" ht="35.25" x14ac:dyDescent="0.4">
      <c r="B11" s="102" t="s">
        <v>858</v>
      </c>
      <c r="C11" s="103"/>
      <c r="D11" s="98" t="s">
        <v>934</v>
      </c>
      <c r="E11" s="98" t="s">
        <v>934</v>
      </c>
      <c r="F11" s="98" t="s">
        <v>934</v>
      </c>
      <c r="G11" s="98" t="s">
        <v>934</v>
      </c>
      <c r="H11" s="98" t="s">
        <v>934</v>
      </c>
      <c r="I11" s="100">
        <f>I12</f>
        <v>792.7</v>
      </c>
      <c r="J11" s="100">
        <f t="shared" ref="J11:L11" si="0">J12</f>
        <v>481</v>
      </c>
      <c r="K11" s="100">
        <f t="shared" si="0"/>
        <v>481</v>
      </c>
      <c r="L11" s="105">
        <f t="shared" si="0"/>
        <v>42</v>
      </c>
      <c r="M11" s="98" t="s">
        <v>934</v>
      </c>
      <c r="N11" s="98" t="s">
        <v>934</v>
      </c>
      <c r="O11" s="99">
        <v>2780000</v>
      </c>
      <c r="P11" s="99">
        <f t="shared" ref="P11:P61" si="1">O11/I11</f>
        <v>3507.0013876624193</v>
      </c>
      <c r="Q11" s="99">
        <f>MAX(Q12)</f>
        <v>4575.8496278541688</v>
      </c>
    </row>
    <row r="12" spans="1:17" ht="35.25" x14ac:dyDescent="0.5">
      <c r="A12" s="6">
        <v>1</v>
      </c>
      <c r="B12" s="96">
        <f>SUBTOTAL(103,$A12:A$12)</f>
        <v>1</v>
      </c>
      <c r="C12" s="104" t="s">
        <v>1084</v>
      </c>
      <c r="D12" s="98">
        <v>1969</v>
      </c>
      <c r="E12" s="98"/>
      <c r="F12" s="98" t="s">
        <v>273</v>
      </c>
      <c r="G12" s="98">
        <v>2</v>
      </c>
      <c r="H12" s="98">
        <v>2</v>
      </c>
      <c r="I12" s="100">
        <v>792.7</v>
      </c>
      <c r="J12" s="100">
        <v>481</v>
      </c>
      <c r="K12" s="100">
        <f>J12</f>
        <v>481</v>
      </c>
      <c r="L12" s="105">
        <v>42</v>
      </c>
      <c r="M12" s="98" t="s">
        <v>272</v>
      </c>
      <c r="N12" s="98" t="s">
        <v>274</v>
      </c>
      <c r="O12" s="99">
        <v>2780000</v>
      </c>
      <c r="P12" s="99">
        <f t="shared" si="1"/>
        <v>3507.0013876624193</v>
      </c>
      <c r="Q12" s="99">
        <v>4575.8496278541688</v>
      </c>
    </row>
    <row r="13" spans="1:17" ht="35.25" x14ac:dyDescent="0.4">
      <c r="B13" s="104" t="s">
        <v>1111</v>
      </c>
      <c r="C13" s="104"/>
      <c r="D13" s="98" t="s">
        <v>934</v>
      </c>
      <c r="E13" s="98" t="s">
        <v>934</v>
      </c>
      <c r="F13" s="98" t="s">
        <v>934</v>
      </c>
      <c r="G13" s="98" t="s">
        <v>934</v>
      </c>
      <c r="H13" s="98" t="s">
        <v>934</v>
      </c>
      <c r="I13" s="100">
        <f>SUM(I14:I21)</f>
        <v>10686.5</v>
      </c>
      <c r="J13" s="100">
        <f>SUM(J14:J21)</f>
        <v>7066.0000000000018</v>
      </c>
      <c r="K13" s="100">
        <f>SUM(K14:K21)</f>
        <v>6558.9</v>
      </c>
      <c r="L13" s="105">
        <f>SUM(L14:L21)</f>
        <v>373</v>
      </c>
      <c r="M13" s="98" t="s">
        <v>934</v>
      </c>
      <c r="N13" s="98" t="s">
        <v>934</v>
      </c>
      <c r="O13" s="99">
        <v>21280025.006305423</v>
      </c>
      <c r="P13" s="99">
        <f t="shared" si="1"/>
        <v>1991.2997713288189</v>
      </c>
      <c r="Q13" s="99">
        <f>MAX(Q14:Q21)</f>
        <v>9248.7839729119642</v>
      </c>
    </row>
    <row r="14" spans="1:17" ht="35.25" x14ac:dyDescent="0.5">
      <c r="A14" s="6">
        <v>1</v>
      </c>
      <c r="B14" s="96">
        <f>SUBTOTAL(103,$A$12:A14)</f>
        <v>2</v>
      </c>
      <c r="C14" s="104" t="s">
        <v>1085</v>
      </c>
      <c r="D14" s="98">
        <v>1958</v>
      </c>
      <c r="E14" s="98"/>
      <c r="F14" s="98" t="s">
        <v>273</v>
      </c>
      <c r="G14" s="98">
        <v>5</v>
      </c>
      <c r="H14" s="98">
        <v>4</v>
      </c>
      <c r="I14" s="100">
        <v>5229.2</v>
      </c>
      <c r="J14" s="100">
        <v>2434.1</v>
      </c>
      <c r="K14" s="100">
        <f>J14-227.6</f>
        <v>2206.5</v>
      </c>
      <c r="L14" s="105">
        <v>121</v>
      </c>
      <c r="M14" s="98" t="s">
        <v>349</v>
      </c>
      <c r="N14" s="98" t="s">
        <v>1123</v>
      </c>
      <c r="O14" s="99">
        <v>7302960</v>
      </c>
      <c r="P14" s="99">
        <f t="shared" si="1"/>
        <v>1396.5730895739312</v>
      </c>
      <c r="Q14" s="99">
        <v>1801.0827916316075</v>
      </c>
    </row>
    <row r="15" spans="1:17" ht="35.25" x14ac:dyDescent="0.5">
      <c r="A15" s="6">
        <v>1</v>
      </c>
      <c r="B15" s="96">
        <f>SUBTOTAL(103,$A$12:A15)</f>
        <v>3</v>
      </c>
      <c r="C15" s="104" t="s">
        <v>1086</v>
      </c>
      <c r="D15" s="98">
        <v>1979</v>
      </c>
      <c r="E15" s="98"/>
      <c r="F15" s="98" t="s">
        <v>273</v>
      </c>
      <c r="G15" s="98">
        <v>5</v>
      </c>
      <c r="H15" s="98">
        <v>1</v>
      </c>
      <c r="I15" s="100">
        <v>802.1</v>
      </c>
      <c r="J15" s="100">
        <v>554.20000000000005</v>
      </c>
      <c r="K15" s="100">
        <f>J15</f>
        <v>554.20000000000005</v>
      </c>
      <c r="L15" s="105">
        <v>25</v>
      </c>
      <c r="M15" s="98" t="s">
        <v>275</v>
      </c>
      <c r="N15" s="98" t="s">
        <v>1124</v>
      </c>
      <c r="O15" s="99">
        <v>1077000</v>
      </c>
      <c r="P15" s="99">
        <f t="shared" si="1"/>
        <v>1342.725345966837</v>
      </c>
      <c r="Q15" s="99">
        <v>1808.8896646303451</v>
      </c>
    </row>
    <row r="16" spans="1:17" ht="35.25" x14ac:dyDescent="0.5">
      <c r="A16" s="6">
        <v>1</v>
      </c>
      <c r="B16" s="96">
        <f>SUBTOTAL(103,$A$12:A16)</f>
        <v>4</v>
      </c>
      <c r="C16" s="104" t="s">
        <v>1087</v>
      </c>
      <c r="D16" s="98">
        <v>1961</v>
      </c>
      <c r="E16" s="98"/>
      <c r="F16" s="98" t="s">
        <v>273</v>
      </c>
      <c r="G16" s="98">
        <v>2</v>
      </c>
      <c r="H16" s="98">
        <v>1</v>
      </c>
      <c r="I16" s="100">
        <v>301.39999999999998</v>
      </c>
      <c r="J16" s="100">
        <v>276.5</v>
      </c>
      <c r="K16" s="100">
        <f>J16-38</f>
        <v>238.5</v>
      </c>
      <c r="L16" s="105">
        <v>16</v>
      </c>
      <c r="M16" s="98" t="s">
        <v>275</v>
      </c>
      <c r="N16" s="98" t="s">
        <v>1059</v>
      </c>
      <c r="O16" s="99">
        <v>1153050</v>
      </c>
      <c r="P16" s="99">
        <f t="shared" si="1"/>
        <v>3825.6469807564699</v>
      </c>
      <c r="Q16" s="99">
        <v>5154.8879230258799</v>
      </c>
    </row>
    <row r="17" spans="1:17" ht="35.25" x14ac:dyDescent="0.5">
      <c r="A17" s="6">
        <v>1</v>
      </c>
      <c r="B17" s="96">
        <f>SUBTOTAL(103,$A$12:A17)</f>
        <v>5</v>
      </c>
      <c r="C17" s="104" t="s">
        <v>1100</v>
      </c>
      <c r="D17" s="98">
        <v>1957</v>
      </c>
      <c r="E17" s="98"/>
      <c r="F17" s="98" t="s">
        <v>273</v>
      </c>
      <c r="G17" s="98">
        <v>2</v>
      </c>
      <c r="H17" s="98">
        <v>1</v>
      </c>
      <c r="I17" s="100">
        <v>272.39999999999998</v>
      </c>
      <c r="J17" s="100">
        <v>194.8</v>
      </c>
      <c r="K17" s="100">
        <f>J17-37.2</f>
        <v>157.60000000000002</v>
      </c>
      <c r="L17" s="105">
        <v>14</v>
      </c>
      <c r="M17" s="98" t="s">
        <v>275</v>
      </c>
      <c r="N17" s="98" t="s">
        <v>1125</v>
      </c>
      <c r="O17" s="99">
        <v>1588190.9963054184</v>
      </c>
      <c r="P17" s="99">
        <f t="shared" si="1"/>
        <v>5830.3634225602736</v>
      </c>
      <c r="Q17" s="99">
        <v>8971.918502202645</v>
      </c>
    </row>
    <row r="18" spans="1:17" ht="35.25" x14ac:dyDescent="0.5">
      <c r="A18" s="6">
        <v>1</v>
      </c>
      <c r="B18" s="96">
        <f>SUBTOTAL(103,$A$12:A18)</f>
        <v>6</v>
      </c>
      <c r="C18" s="104" t="s">
        <v>1146</v>
      </c>
      <c r="D18" s="98">
        <v>1960</v>
      </c>
      <c r="E18" s="98"/>
      <c r="F18" s="98" t="s">
        <v>273</v>
      </c>
      <c r="G18" s="98">
        <v>4</v>
      </c>
      <c r="H18" s="98">
        <v>4</v>
      </c>
      <c r="I18" s="100">
        <v>2738.8</v>
      </c>
      <c r="J18" s="100">
        <v>2498.1</v>
      </c>
      <c r="K18" s="100">
        <f>2498.1-114.3</f>
        <v>2383.7999999999997</v>
      </c>
      <c r="L18" s="105">
        <v>128</v>
      </c>
      <c r="M18" s="98" t="s">
        <v>275</v>
      </c>
      <c r="N18" s="98" t="s">
        <v>1145</v>
      </c>
      <c r="O18" s="99">
        <v>3773900</v>
      </c>
      <c r="P18" s="99">
        <f t="shared" si="1"/>
        <v>1377.9392434642909</v>
      </c>
      <c r="Q18" s="99">
        <v>1843.1280487804875</v>
      </c>
    </row>
    <row r="19" spans="1:17" ht="35.25" x14ac:dyDescent="0.5">
      <c r="A19" s="6">
        <v>1</v>
      </c>
      <c r="B19" s="96">
        <f>SUBTOTAL(103,$A$12:A19)</f>
        <v>7</v>
      </c>
      <c r="C19" s="94" t="s">
        <v>1155</v>
      </c>
      <c r="D19" s="98">
        <v>1956</v>
      </c>
      <c r="E19" s="98"/>
      <c r="F19" s="98" t="s">
        <v>273</v>
      </c>
      <c r="G19" s="98">
        <v>2</v>
      </c>
      <c r="H19" s="98">
        <v>1</v>
      </c>
      <c r="I19" s="100">
        <v>443</v>
      </c>
      <c r="J19" s="100">
        <v>397.1</v>
      </c>
      <c r="K19" s="100">
        <v>353.4</v>
      </c>
      <c r="L19" s="105">
        <v>24</v>
      </c>
      <c r="M19" s="98" t="s">
        <v>275</v>
      </c>
      <c r="N19" s="98" t="s">
        <v>1145</v>
      </c>
      <c r="O19" s="99">
        <v>1997192</v>
      </c>
      <c r="P19" s="99">
        <f t="shared" si="1"/>
        <v>4508.3340857787807</v>
      </c>
      <c r="Q19" s="99">
        <v>9248.7839729119642</v>
      </c>
    </row>
    <row r="20" spans="1:17" ht="35.25" x14ac:dyDescent="0.5">
      <c r="A20" s="6">
        <v>1</v>
      </c>
      <c r="B20" s="96">
        <f>SUBTOTAL(103,$A$12:A20)</f>
        <v>8</v>
      </c>
      <c r="C20" s="94" t="s">
        <v>1156</v>
      </c>
      <c r="D20" s="98">
        <v>1956</v>
      </c>
      <c r="E20" s="98"/>
      <c r="F20" s="98" t="s">
        <v>273</v>
      </c>
      <c r="G20" s="98">
        <v>2</v>
      </c>
      <c r="H20" s="98">
        <v>1</v>
      </c>
      <c r="I20" s="100">
        <v>512.5</v>
      </c>
      <c r="J20" s="100">
        <v>324.10000000000002</v>
      </c>
      <c r="K20" s="100">
        <v>324.10000000000002</v>
      </c>
      <c r="L20" s="105">
        <v>25</v>
      </c>
      <c r="M20" s="98" t="s">
        <v>275</v>
      </c>
      <c r="N20" s="98" t="s">
        <v>1125</v>
      </c>
      <c r="O20" s="99">
        <v>2372807.9900000002</v>
      </c>
      <c r="P20" s="99">
        <f t="shared" si="1"/>
        <v>4629.8692487804883</v>
      </c>
      <c r="Q20" s="99">
        <v>6487.8107317073172</v>
      </c>
    </row>
    <row r="21" spans="1:17" ht="35.25" x14ac:dyDescent="0.5">
      <c r="A21" s="6">
        <v>1</v>
      </c>
      <c r="B21" s="96">
        <f>SUBTOTAL(103,$A$12:A21)</f>
        <v>9</v>
      </c>
      <c r="C21" s="94" t="s">
        <v>1479</v>
      </c>
      <c r="D21" s="98">
        <v>1957</v>
      </c>
      <c r="E21" s="98"/>
      <c r="F21" s="98" t="s">
        <v>273</v>
      </c>
      <c r="G21" s="98">
        <v>2</v>
      </c>
      <c r="H21" s="98">
        <v>1</v>
      </c>
      <c r="I21" s="100">
        <v>387.1</v>
      </c>
      <c r="J21" s="100">
        <v>387.1</v>
      </c>
      <c r="K21" s="100">
        <v>340.8</v>
      </c>
      <c r="L21" s="105">
        <v>20</v>
      </c>
      <c r="M21" s="98" t="s">
        <v>275</v>
      </c>
      <c r="N21" s="98" t="s">
        <v>1480</v>
      </c>
      <c r="O21" s="99">
        <v>2014924.02</v>
      </c>
      <c r="P21" s="99">
        <f t="shared" si="1"/>
        <v>5205.1770085249291</v>
      </c>
      <c r="Q21" s="99">
        <v>5559.7617153190395</v>
      </c>
    </row>
    <row r="22" spans="1:17" ht="35.25" x14ac:dyDescent="0.4">
      <c r="B22" s="104" t="s">
        <v>862</v>
      </c>
      <c r="C22" s="104"/>
      <c r="D22" s="98" t="s">
        <v>934</v>
      </c>
      <c r="E22" s="98" t="s">
        <v>934</v>
      </c>
      <c r="F22" s="98" t="s">
        <v>934</v>
      </c>
      <c r="G22" s="98" t="s">
        <v>934</v>
      </c>
      <c r="H22" s="98" t="s">
        <v>934</v>
      </c>
      <c r="I22" s="100">
        <f>I23</f>
        <v>882.3</v>
      </c>
      <c r="J22" s="100">
        <f t="shared" ref="J22:L22" si="2">J23</f>
        <v>779.5</v>
      </c>
      <c r="K22" s="100">
        <f t="shared" si="2"/>
        <v>779.5</v>
      </c>
      <c r="L22" s="105">
        <f t="shared" si="2"/>
        <v>29</v>
      </c>
      <c r="M22" s="98" t="s">
        <v>934</v>
      </c>
      <c r="N22" s="98" t="s">
        <v>934</v>
      </c>
      <c r="O22" s="99">
        <v>1376400</v>
      </c>
      <c r="P22" s="99">
        <f t="shared" si="1"/>
        <v>1560.0136008160491</v>
      </c>
      <c r="Q22" s="99">
        <f>Q23</f>
        <v>1964.7916298311234</v>
      </c>
    </row>
    <row r="23" spans="1:17" ht="35.25" x14ac:dyDescent="0.5">
      <c r="A23" s="6">
        <v>1</v>
      </c>
      <c r="B23" s="96">
        <f>SUBTOTAL(103,$A$12:A23)</f>
        <v>10</v>
      </c>
      <c r="C23" s="104" t="s">
        <v>717</v>
      </c>
      <c r="D23" s="98">
        <v>1982</v>
      </c>
      <c r="E23" s="98"/>
      <c r="F23" s="98" t="s">
        <v>273</v>
      </c>
      <c r="G23" s="98">
        <v>4</v>
      </c>
      <c r="H23" s="98">
        <v>1</v>
      </c>
      <c r="I23" s="100">
        <v>882.3</v>
      </c>
      <c r="J23" s="100">
        <v>779.5</v>
      </c>
      <c r="K23" s="100">
        <f>J23</f>
        <v>779.5</v>
      </c>
      <c r="L23" s="105">
        <v>29</v>
      </c>
      <c r="M23" s="98" t="s">
        <v>272</v>
      </c>
      <c r="N23" s="98" t="s">
        <v>274</v>
      </c>
      <c r="O23" s="99">
        <v>1376400</v>
      </c>
      <c r="P23" s="99">
        <f t="shared" si="1"/>
        <v>1560.0136008160491</v>
      </c>
      <c r="Q23" s="99">
        <v>1964.7916298311234</v>
      </c>
    </row>
    <row r="24" spans="1:17" ht="35.25" x14ac:dyDescent="0.5">
      <c r="B24" s="151" t="s">
        <v>866</v>
      </c>
      <c r="C24" s="104"/>
      <c r="D24" s="98" t="s">
        <v>934</v>
      </c>
      <c r="E24" s="98" t="s">
        <v>934</v>
      </c>
      <c r="F24" s="98" t="s">
        <v>934</v>
      </c>
      <c r="G24" s="98" t="s">
        <v>934</v>
      </c>
      <c r="H24" s="98" t="s">
        <v>934</v>
      </c>
      <c r="I24" s="100">
        <f>I25</f>
        <v>1813.2</v>
      </c>
      <c r="J24" s="100">
        <f t="shared" ref="J24:L24" si="3">J25</f>
        <v>1042.3</v>
      </c>
      <c r="K24" s="100">
        <f t="shared" si="3"/>
        <v>567</v>
      </c>
      <c r="L24" s="105">
        <f t="shared" si="3"/>
        <v>156</v>
      </c>
      <c r="M24" s="98" t="s">
        <v>934</v>
      </c>
      <c r="N24" s="98" t="s">
        <v>934</v>
      </c>
      <c r="O24" s="99">
        <v>6235729.1299999999</v>
      </c>
      <c r="P24" s="99">
        <f t="shared" si="1"/>
        <v>3439.0740844915067</v>
      </c>
      <c r="Q24" s="99">
        <f>Q25</f>
        <v>4167.6731744981244</v>
      </c>
    </row>
    <row r="25" spans="1:17" ht="35.25" x14ac:dyDescent="0.5">
      <c r="A25" s="6">
        <v>1</v>
      </c>
      <c r="B25" s="96">
        <f>SUBTOTAL(103,$A$12:A25)</f>
        <v>11</v>
      </c>
      <c r="C25" s="104" t="s">
        <v>1135</v>
      </c>
      <c r="D25" s="98">
        <v>2007</v>
      </c>
      <c r="E25" s="98"/>
      <c r="F25" s="98" t="s">
        <v>273</v>
      </c>
      <c r="G25" s="98">
        <v>3</v>
      </c>
      <c r="H25" s="98">
        <v>3</v>
      </c>
      <c r="I25" s="100">
        <v>1813.2</v>
      </c>
      <c r="J25" s="100">
        <v>1042.3</v>
      </c>
      <c r="K25" s="100">
        <f>J25-475.3</f>
        <v>567</v>
      </c>
      <c r="L25" s="105">
        <v>156</v>
      </c>
      <c r="M25" s="98" t="s">
        <v>275</v>
      </c>
      <c r="N25" s="98" t="s">
        <v>1137</v>
      </c>
      <c r="O25" s="99">
        <v>6235729.1299999999</v>
      </c>
      <c r="P25" s="99">
        <f t="shared" si="1"/>
        <v>3439.0740844915067</v>
      </c>
      <c r="Q25" s="99">
        <v>4167.6731744981244</v>
      </c>
    </row>
    <row r="26" spans="1:17" ht="35.25" x14ac:dyDescent="0.4">
      <c r="B26" s="104" t="s">
        <v>867</v>
      </c>
      <c r="C26" s="104"/>
      <c r="D26" s="98" t="s">
        <v>934</v>
      </c>
      <c r="E26" s="98" t="s">
        <v>934</v>
      </c>
      <c r="F26" s="98" t="s">
        <v>934</v>
      </c>
      <c r="G26" s="98" t="s">
        <v>934</v>
      </c>
      <c r="H26" s="98" t="s">
        <v>934</v>
      </c>
      <c r="I26" s="100">
        <f>I27</f>
        <v>366.5</v>
      </c>
      <c r="J26" s="100">
        <f t="shared" ref="J26:L26" si="4">J27</f>
        <v>336.9</v>
      </c>
      <c r="K26" s="100">
        <f t="shared" si="4"/>
        <v>336.9</v>
      </c>
      <c r="L26" s="105">
        <f t="shared" si="4"/>
        <v>13</v>
      </c>
      <c r="M26" s="98" t="s">
        <v>934</v>
      </c>
      <c r="N26" s="98" t="s">
        <v>934</v>
      </c>
      <c r="O26" s="99">
        <v>1405440</v>
      </c>
      <c r="P26" s="99">
        <f t="shared" si="1"/>
        <v>3834.7612551159618</v>
      </c>
      <c r="Q26" s="99">
        <f>Q27</f>
        <v>4829.7699536152795</v>
      </c>
    </row>
    <row r="27" spans="1:17" ht="35.25" x14ac:dyDescent="0.5">
      <c r="A27" s="6">
        <v>1</v>
      </c>
      <c r="B27" s="96">
        <f>SUBTOTAL(103,$A$12:A27)</f>
        <v>12</v>
      </c>
      <c r="C27" s="104" t="s">
        <v>1088</v>
      </c>
      <c r="D27" s="98">
        <v>1971</v>
      </c>
      <c r="E27" s="98"/>
      <c r="F27" s="98" t="s">
        <v>273</v>
      </c>
      <c r="G27" s="98">
        <v>2</v>
      </c>
      <c r="H27" s="98">
        <v>1</v>
      </c>
      <c r="I27" s="100">
        <v>366.5</v>
      </c>
      <c r="J27" s="100">
        <v>336.9</v>
      </c>
      <c r="K27" s="100">
        <f>J27</f>
        <v>336.9</v>
      </c>
      <c r="L27" s="105">
        <v>13</v>
      </c>
      <c r="M27" s="98" t="s">
        <v>275</v>
      </c>
      <c r="N27" s="98" t="s">
        <v>341</v>
      </c>
      <c r="O27" s="99">
        <v>1405440</v>
      </c>
      <c r="P27" s="99">
        <f t="shared" si="1"/>
        <v>3834.7612551159618</v>
      </c>
      <c r="Q27" s="99">
        <v>4829.7699536152795</v>
      </c>
    </row>
    <row r="28" spans="1:17" ht="35.25" x14ac:dyDescent="0.4">
      <c r="B28" s="104" t="s">
        <v>1112</v>
      </c>
      <c r="C28" s="104"/>
      <c r="D28" s="98" t="s">
        <v>934</v>
      </c>
      <c r="E28" s="98" t="s">
        <v>934</v>
      </c>
      <c r="F28" s="98" t="s">
        <v>934</v>
      </c>
      <c r="G28" s="98" t="s">
        <v>934</v>
      </c>
      <c r="H28" s="98" t="s">
        <v>934</v>
      </c>
      <c r="I28" s="100">
        <f>I29+I30</f>
        <v>874.3</v>
      </c>
      <c r="J28" s="100">
        <f t="shared" ref="J28:L28" si="5">J29+J30</f>
        <v>820.40000000000009</v>
      </c>
      <c r="K28" s="100">
        <f t="shared" si="5"/>
        <v>653.30000000000007</v>
      </c>
      <c r="L28" s="105">
        <f t="shared" si="5"/>
        <v>38</v>
      </c>
      <c r="M28" s="98" t="s">
        <v>934</v>
      </c>
      <c r="N28" s="98" t="s">
        <v>934</v>
      </c>
      <c r="O28" s="99">
        <v>3363253.9701477829</v>
      </c>
      <c r="P28" s="99">
        <f t="shared" si="1"/>
        <v>3846.7962600340652</v>
      </c>
      <c r="Q28" s="99">
        <f>MAX(Q29:Q30)</f>
        <v>7636.1902692878348</v>
      </c>
    </row>
    <row r="29" spans="1:17" ht="35.25" x14ac:dyDescent="0.5">
      <c r="A29" s="6">
        <v>1</v>
      </c>
      <c r="B29" s="96">
        <f>SUBTOTAL(103,$A$12:A29)</f>
        <v>13</v>
      </c>
      <c r="C29" s="104" t="s">
        <v>1089</v>
      </c>
      <c r="D29" s="98">
        <v>1938</v>
      </c>
      <c r="E29" s="98"/>
      <c r="F29" s="98" t="s">
        <v>338</v>
      </c>
      <c r="G29" s="98">
        <v>2</v>
      </c>
      <c r="H29" s="98">
        <v>2</v>
      </c>
      <c r="I29" s="100">
        <v>469.9</v>
      </c>
      <c r="J29" s="100">
        <v>418.1</v>
      </c>
      <c r="K29" s="100">
        <f>J29-167.1</f>
        <v>251.00000000000003</v>
      </c>
      <c r="L29" s="105">
        <v>19</v>
      </c>
      <c r="M29" s="98" t="s">
        <v>272</v>
      </c>
      <c r="N29" s="98" t="s">
        <v>274</v>
      </c>
      <c r="O29" s="99">
        <v>1824000</v>
      </c>
      <c r="P29" s="99">
        <f t="shared" si="1"/>
        <v>3881.6769525430946</v>
      </c>
      <c r="Q29" s="99">
        <v>4888.8589061502444</v>
      </c>
    </row>
    <row r="30" spans="1:17" ht="35.25" x14ac:dyDescent="0.5">
      <c r="A30" s="6">
        <v>1</v>
      </c>
      <c r="B30" s="96">
        <f>SUBTOTAL(103,$A$12:A30)</f>
        <v>14</v>
      </c>
      <c r="C30" s="104" t="s">
        <v>1090</v>
      </c>
      <c r="D30" s="98">
        <v>1950</v>
      </c>
      <c r="E30" s="98"/>
      <c r="F30" s="98" t="s">
        <v>338</v>
      </c>
      <c r="G30" s="98">
        <v>2</v>
      </c>
      <c r="H30" s="98">
        <v>2</v>
      </c>
      <c r="I30" s="100">
        <v>404.4</v>
      </c>
      <c r="J30" s="100">
        <v>402.3</v>
      </c>
      <c r="K30" s="100">
        <f>J30</f>
        <v>402.3</v>
      </c>
      <c r="L30" s="105">
        <v>19</v>
      </c>
      <c r="M30" s="98" t="s">
        <v>272</v>
      </c>
      <c r="N30" s="98" t="s">
        <v>274</v>
      </c>
      <c r="O30" s="99">
        <v>1539253.9701477832</v>
      </c>
      <c r="P30" s="99">
        <f t="shared" si="1"/>
        <v>3806.2659993763186</v>
      </c>
      <c r="Q30" s="99">
        <v>7636.1902692878348</v>
      </c>
    </row>
    <row r="31" spans="1:17" ht="35.25" x14ac:dyDescent="0.4">
      <c r="B31" s="104" t="s">
        <v>874</v>
      </c>
      <c r="C31" s="104"/>
      <c r="D31" s="98" t="s">
        <v>934</v>
      </c>
      <c r="E31" s="98" t="s">
        <v>934</v>
      </c>
      <c r="F31" s="98" t="s">
        <v>934</v>
      </c>
      <c r="G31" s="98" t="s">
        <v>934</v>
      </c>
      <c r="H31" s="98" t="s">
        <v>934</v>
      </c>
      <c r="I31" s="100">
        <f>I32+I33</f>
        <v>845.48</v>
      </c>
      <c r="J31" s="100">
        <f t="shared" ref="J31:L31" si="6">J32+J33</f>
        <v>724.81000000000006</v>
      </c>
      <c r="K31" s="100">
        <f t="shared" si="6"/>
        <v>544.31000000000006</v>
      </c>
      <c r="L31" s="105">
        <f t="shared" si="6"/>
        <v>48</v>
      </c>
      <c r="M31" s="98" t="s">
        <v>934</v>
      </c>
      <c r="N31" s="98" t="s">
        <v>934</v>
      </c>
      <c r="O31" s="99">
        <v>3465600.02</v>
      </c>
      <c r="P31" s="99">
        <f t="shared" si="1"/>
        <v>4098.9733878979987</v>
      </c>
      <c r="Q31" s="99">
        <f>MAX(Q32:Q33)</f>
        <v>5794.5821210374643</v>
      </c>
    </row>
    <row r="32" spans="1:17" ht="35.25" x14ac:dyDescent="0.5">
      <c r="A32" s="6">
        <v>1</v>
      </c>
      <c r="B32" s="96">
        <f>SUBTOTAL(103,$A$12:A32)</f>
        <v>15</v>
      </c>
      <c r="C32" s="104" t="s">
        <v>1110</v>
      </c>
      <c r="D32" s="98">
        <v>1962</v>
      </c>
      <c r="E32" s="98"/>
      <c r="F32" s="98" t="s">
        <v>273</v>
      </c>
      <c r="G32" s="98">
        <v>2</v>
      </c>
      <c r="H32" s="98">
        <v>2</v>
      </c>
      <c r="I32" s="100">
        <v>671.98</v>
      </c>
      <c r="J32" s="100">
        <v>624.21</v>
      </c>
      <c r="K32" s="100">
        <f>J32-79.9</f>
        <v>544.31000000000006</v>
      </c>
      <c r="L32" s="105">
        <v>38</v>
      </c>
      <c r="M32" s="98" t="s">
        <v>275</v>
      </c>
      <c r="N32" s="98" t="s">
        <v>291</v>
      </c>
      <c r="O32" s="99">
        <v>2667360.02</v>
      </c>
      <c r="P32" s="99">
        <f t="shared" si="1"/>
        <v>3969.403881067889</v>
      </c>
      <c r="Q32" s="99">
        <v>4999.3483764397752</v>
      </c>
    </row>
    <row r="33" spans="1:17" ht="35.25" x14ac:dyDescent="0.5">
      <c r="A33" s="6">
        <v>1</v>
      </c>
      <c r="B33" s="96">
        <f>SUBTOTAL(103,$A$12:A33)</f>
        <v>16</v>
      </c>
      <c r="C33" s="104" t="s">
        <v>1091</v>
      </c>
      <c r="D33" s="98">
        <v>1964</v>
      </c>
      <c r="E33" s="98"/>
      <c r="F33" s="98" t="s">
        <v>273</v>
      </c>
      <c r="G33" s="98">
        <v>2</v>
      </c>
      <c r="H33" s="98">
        <v>1</v>
      </c>
      <c r="I33" s="100">
        <v>173.5</v>
      </c>
      <c r="J33" s="100">
        <v>100.6</v>
      </c>
      <c r="K33" s="100">
        <v>0</v>
      </c>
      <c r="L33" s="105">
        <v>10</v>
      </c>
      <c r="M33" s="98" t="s">
        <v>272</v>
      </c>
      <c r="N33" s="98" t="s">
        <v>274</v>
      </c>
      <c r="O33" s="99">
        <v>798240</v>
      </c>
      <c r="P33" s="99">
        <f t="shared" si="1"/>
        <v>4600.8069164265125</v>
      </c>
      <c r="Q33" s="99">
        <v>5794.5821210374643</v>
      </c>
    </row>
    <row r="34" spans="1:17" ht="35.25" x14ac:dyDescent="0.4">
      <c r="B34" s="104" t="s">
        <v>803</v>
      </c>
      <c r="C34" s="104"/>
      <c r="D34" s="98" t="s">
        <v>934</v>
      </c>
      <c r="E34" s="98" t="s">
        <v>934</v>
      </c>
      <c r="F34" s="98" t="s">
        <v>934</v>
      </c>
      <c r="G34" s="98" t="s">
        <v>934</v>
      </c>
      <c r="H34" s="98" t="s">
        <v>934</v>
      </c>
      <c r="I34" s="100">
        <f>I35+I36+I37</f>
        <v>2093.1</v>
      </c>
      <c r="J34" s="100">
        <f t="shared" ref="J34:L34" si="7">J35+J36+J37</f>
        <v>1503.4</v>
      </c>
      <c r="K34" s="100">
        <f t="shared" si="7"/>
        <v>1335</v>
      </c>
      <c r="L34" s="105">
        <f t="shared" si="7"/>
        <v>110</v>
      </c>
      <c r="M34" s="98" t="s">
        <v>934</v>
      </c>
      <c r="N34" s="98" t="s">
        <v>934</v>
      </c>
      <c r="O34" s="99">
        <v>5920666.21</v>
      </c>
      <c r="P34" s="99">
        <f t="shared" si="1"/>
        <v>2828.6590272801109</v>
      </c>
      <c r="Q34" s="99">
        <f>MAX(Q35:Q37)</f>
        <v>5235.3683600000004</v>
      </c>
    </row>
    <row r="35" spans="1:17" ht="35.25" x14ac:dyDescent="0.5">
      <c r="A35" s="6">
        <v>1</v>
      </c>
      <c r="B35" s="96">
        <f>SUBTOTAL(103,$A$12:A35)</f>
        <v>17</v>
      </c>
      <c r="C35" s="104" t="s">
        <v>1092</v>
      </c>
      <c r="D35" s="98">
        <v>1960</v>
      </c>
      <c r="E35" s="98"/>
      <c r="F35" s="98" t="s">
        <v>273</v>
      </c>
      <c r="G35" s="98">
        <v>2</v>
      </c>
      <c r="H35" s="98">
        <v>1</v>
      </c>
      <c r="I35" s="100">
        <v>306.60000000000002</v>
      </c>
      <c r="J35" s="100">
        <v>285.8</v>
      </c>
      <c r="K35" s="100">
        <f>J35-33.2</f>
        <v>252.60000000000002</v>
      </c>
      <c r="L35" s="105">
        <v>21</v>
      </c>
      <c r="M35" s="98" t="s">
        <v>272</v>
      </c>
      <c r="N35" s="98" t="s">
        <v>274</v>
      </c>
      <c r="O35" s="99">
        <v>1077466.21</v>
      </c>
      <c r="P35" s="99">
        <f t="shared" si="1"/>
        <v>3514.2407371167642</v>
      </c>
      <c r="Q35" s="99">
        <v>4068.5590880626223</v>
      </c>
    </row>
    <row r="36" spans="1:17" ht="35.25" x14ac:dyDescent="0.5">
      <c r="A36" s="6">
        <v>1</v>
      </c>
      <c r="B36" s="96">
        <f>SUBTOTAL(103,$A$12:A36)</f>
        <v>18</v>
      </c>
      <c r="C36" s="104" t="s">
        <v>827</v>
      </c>
      <c r="D36" s="98">
        <v>1960</v>
      </c>
      <c r="E36" s="98"/>
      <c r="F36" s="98" t="s">
        <v>273</v>
      </c>
      <c r="G36" s="98">
        <v>3</v>
      </c>
      <c r="H36" s="98">
        <v>2</v>
      </c>
      <c r="I36" s="100">
        <v>1286.5</v>
      </c>
      <c r="J36" s="100">
        <v>739.6</v>
      </c>
      <c r="K36" s="100">
        <f>J36-65.9</f>
        <v>673.7</v>
      </c>
      <c r="L36" s="105">
        <v>39</v>
      </c>
      <c r="M36" s="98" t="s">
        <v>272</v>
      </c>
      <c r="N36" s="98" t="s">
        <v>274</v>
      </c>
      <c r="O36" s="99">
        <v>2764800</v>
      </c>
      <c r="P36" s="99">
        <f t="shared" si="1"/>
        <v>2149.086669257676</v>
      </c>
      <c r="Q36" s="99">
        <v>2706.7119782355226</v>
      </c>
    </row>
    <row r="37" spans="1:17" ht="35.25" x14ac:dyDescent="0.5">
      <c r="A37" s="6">
        <v>1</v>
      </c>
      <c r="B37" s="96">
        <f>SUBTOTAL(103,$A$12:A37)</f>
        <v>19</v>
      </c>
      <c r="C37" s="104" t="s">
        <v>819</v>
      </c>
      <c r="D37" s="98">
        <v>1965</v>
      </c>
      <c r="E37" s="98"/>
      <c r="F37" s="98" t="s">
        <v>273</v>
      </c>
      <c r="G37" s="98">
        <v>2</v>
      </c>
      <c r="H37" s="98">
        <v>3</v>
      </c>
      <c r="I37" s="100">
        <v>500</v>
      </c>
      <c r="J37" s="100">
        <v>478</v>
      </c>
      <c r="K37" s="100">
        <f>J37-69.3</f>
        <v>408.7</v>
      </c>
      <c r="L37" s="105">
        <v>50</v>
      </c>
      <c r="M37" s="98" t="s">
        <v>272</v>
      </c>
      <c r="N37" s="98" t="s">
        <v>274</v>
      </c>
      <c r="O37" s="99">
        <v>2078400</v>
      </c>
      <c r="P37" s="99">
        <f t="shared" si="1"/>
        <v>4156.8</v>
      </c>
      <c r="Q37" s="99">
        <v>5235.3683600000004</v>
      </c>
    </row>
    <row r="38" spans="1:17" ht="35.25" x14ac:dyDescent="0.4">
      <c r="B38" s="104" t="s">
        <v>881</v>
      </c>
      <c r="C38" s="104"/>
      <c r="D38" s="98" t="s">
        <v>934</v>
      </c>
      <c r="E38" s="98" t="s">
        <v>934</v>
      </c>
      <c r="F38" s="98" t="s">
        <v>934</v>
      </c>
      <c r="G38" s="98" t="s">
        <v>934</v>
      </c>
      <c r="H38" s="98" t="s">
        <v>934</v>
      </c>
      <c r="I38" s="100">
        <f>I39</f>
        <v>755.8</v>
      </c>
      <c r="J38" s="100">
        <f t="shared" ref="J38:L38" si="8">J39</f>
        <v>690.5</v>
      </c>
      <c r="K38" s="100">
        <f t="shared" si="8"/>
        <v>391.9</v>
      </c>
      <c r="L38" s="105">
        <f t="shared" si="8"/>
        <v>20</v>
      </c>
      <c r="M38" s="98" t="s">
        <v>934</v>
      </c>
      <c r="N38" s="98" t="s">
        <v>934</v>
      </c>
      <c r="O38" s="99">
        <v>2154384</v>
      </c>
      <c r="P38" s="99">
        <f t="shared" si="1"/>
        <v>2850.4683778777458</v>
      </c>
      <c r="Q38" s="99">
        <f>Q39</f>
        <v>3590.081783275999</v>
      </c>
    </row>
    <row r="39" spans="1:17" ht="35.25" x14ac:dyDescent="0.5">
      <c r="A39" s="6">
        <v>1</v>
      </c>
      <c r="B39" s="96">
        <f>SUBTOTAL(103,$A$12:A39)</f>
        <v>20</v>
      </c>
      <c r="C39" s="104" t="s">
        <v>1093</v>
      </c>
      <c r="D39" s="98">
        <v>1953</v>
      </c>
      <c r="E39" s="98"/>
      <c r="F39" s="98" t="s">
        <v>273</v>
      </c>
      <c r="G39" s="98">
        <v>2</v>
      </c>
      <c r="H39" s="98">
        <v>2</v>
      </c>
      <c r="I39" s="100">
        <v>755.8</v>
      </c>
      <c r="J39" s="100">
        <v>690.5</v>
      </c>
      <c r="K39" s="100">
        <f>J39-298.6</f>
        <v>391.9</v>
      </c>
      <c r="L39" s="105">
        <v>20</v>
      </c>
      <c r="M39" s="98" t="s">
        <v>272</v>
      </c>
      <c r="N39" s="98" t="s">
        <v>274</v>
      </c>
      <c r="O39" s="99">
        <v>2154384</v>
      </c>
      <c r="P39" s="99">
        <f t="shared" si="1"/>
        <v>2850.4683778777458</v>
      </c>
      <c r="Q39" s="99">
        <v>3590.081783275999</v>
      </c>
    </row>
    <row r="40" spans="1:17" ht="35.25" x14ac:dyDescent="0.4">
      <c r="B40" s="104" t="s">
        <v>883</v>
      </c>
      <c r="C40" s="104"/>
      <c r="D40" s="98" t="s">
        <v>934</v>
      </c>
      <c r="E40" s="98" t="s">
        <v>934</v>
      </c>
      <c r="F40" s="98" t="s">
        <v>934</v>
      </c>
      <c r="G40" s="98" t="s">
        <v>934</v>
      </c>
      <c r="H40" s="98" t="s">
        <v>934</v>
      </c>
      <c r="I40" s="100">
        <f>I41</f>
        <v>1840.2</v>
      </c>
      <c r="J40" s="100">
        <f t="shared" ref="J40:L40" si="9">J41</f>
        <v>1606</v>
      </c>
      <c r="K40" s="100">
        <f t="shared" si="9"/>
        <v>1461.2</v>
      </c>
      <c r="L40" s="105">
        <f t="shared" si="9"/>
        <v>77</v>
      </c>
      <c r="M40" s="98" t="s">
        <v>934</v>
      </c>
      <c r="N40" s="98" t="s">
        <v>934</v>
      </c>
      <c r="O40" s="99">
        <v>5688174.9500000002</v>
      </c>
      <c r="P40" s="99">
        <f t="shared" si="1"/>
        <v>3091.0634441908487</v>
      </c>
      <c r="Q40" s="99">
        <f>Q41</f>
        <v>3646.5930877078576</v>
      </c>
    </row>
    <row r="41" spans="1:17" ht="35.25" x14ac:dyDescent="0.5">
      <c r="A41" s="6">
        <v>1</v>
      </c>
      <c r="B41" s="96">
        <f>SUBTOTAL(103,$A$12:A41)</f>
        <v>21</v>
      </c>
      <c r="C41" s="104" t="s">
        <v>1094</v>
      </c>
      <c r="D41" s="98">
        <v>1986</v>
      </c>
      <c r="E41" s="98"/>
      <c r="F41" s="98" t="s">
        <v>273</v>
      </c>
      <c r="G41" s="98">
        <v>3</v>
      </c>
      <c r="H41" s="98">
        <v>3</v>
      </c>
      <c r="I41" s="100">
        <v>1840.2</v>
      </c>
      <c r="J41" s="100">
        <v>1606</v>
      </c>
      <c r="K41" s="100">
        <f>J41-144.8</f>
        <v>1461.2</v>
      </c>
      <c r="L41" s="105">
        <v>77</v>
      </c>
      <c r="M41" s="98" t="s">
        <v>349</v>
      </c>
      <c r="N41" s="98" t="s">
        <v>1126</v>
      </c>
      <c r="O41" s="99">
        <v>5688174.9500000002</v>
      </c>
      <c r="P41" s="99">
        <f t="shared" si="1"/>
        <v>3091.0634441908487</v>
      </c>
      <c r="Q41" s="99">
        <v>3646.5930877078576</v>
      </c>
    </row>
    <row r="42" spans="1:17" ht="35.25" x14ac:dyDescent="0.4">
      <c r="B42" s="104" t="s">
        <v>1113</v>
      </c>
      <c r="C42" s="104"/>
      <c r="D42" s="98" t="s">
        <v>934</v>
      </c>
      <c r="E42" s="98" t="s">
        <v>934</v>
      </c>
      <c r="F42" s="98" t="s">
        <v>934</v>
      </c>
      <c r="G42" s="98" t="s">
        <v>934</v>
      </c>
      <c r="H42" s="98" t="s">
        <v>934</v>
      </c>
      <c r="I42" s="100">
        <f>I43+I44+I45</f>
        <v>1542</v>
      </c>
      <c r="J42" s="100">
        <f t="shared" ref="J42:L42" si="10">J43+J44+J45</f>
        <v>1398.2</v>
      </c>
      <c r="K42" s="100">
        <f t="shared" si="10"/>
        <v>1169.9000000000001</v>
      </c>
      <c r="L42" s="105">
        <f t="shared" si="10"/>
        <v>58</v>
      </c>
      <c r="M42" s="98" t="s">
        <v>934</v>
      </c>
      <c r="N42" s="98" t="s">
        <v>934</v>
      </c>
      <c r="O42" s="99">
        <v>6998400</v>
      </c>
      <c r="P42" s="99">
        <f t="shared" si="1"/>
        <v>4538.5214007782097</v>
      </c>
      <c r="Q42" s="99">
        <f>MAX(Q43:Q45)</f>
        <v>6869.840909090909</v>
      </c>
    </row>
    <row r="43" spans="1:17" ht="35.25" x14ac:dyDescent="0.5">
      <c r="A43" s="6">
        <v>1</v>
      </c>
      <c r="B43" s="96">
        <f>SUBTOTAL(103,$A$12:A43)</f>
        <v>22</v>
      </c>
      <c r="C43" s="104" t="s">
        <v>1095</v>
      </c>
      <c r="D43" s="98">
        <v>1950</v>
      </c>
      <c r="E43" s="98"/>
      <c r="F43" s="98" t="s">
        <v>273</v>
      </c>
      <c r="G43" s="98">
        <v>2</v>
      </c>
      <c r="H43" s="98">
        <v>1</v>
      </c>
      <c r="I43" s="100">
        <v>440</v>
      </c>
      <c r="J43" s="100">
        <v>433.9</v>
      </c>
      <c r="K43" s="100">
        <f>J43-53.4</f>
        <v>380.5</v>
      </c>
      <c r="L43" s="105">
        <v>18</v>
      </c>
      <c r="M43" s="98" t="s">
        <v>275</v>
      </c>
      <c r="N43" s="98" t="s">
        <v>329</v>
      </c>
      <c r="O43" s="99">
        <v>2400000</v>
      </c>
      <c r="P43" s="99">
        <f t="shared" si="1"/>
        <v>5454.545454545455</v>
      </c>
      <c r="Q43" s="99">
        <v>6869.840909090909</v>
      </c>
    </row>
    <row r="44" spans="1:17" ht="35.25" x14ac:dyDescent="0.5">
      <c r="A44" s="6">
        <v>1</v>
      </c>
      <c r="B44" s="96">
        <f>SUBTOTAL(103,$A$12:A44)</f>
        <v>23</v>
      </c>
      <c r="C44" s="104" t="s">
        <v>1096</v>
      </c>
      <c r="D44" s="98">
        <v>1956</v>
      </c>
      <c r="E44" s="98"/>
      <c r="F44" s="98" t="s">
        <v>273</v>
      </c>
      <c r="G44" s="98">
        <v>2</v>
      </c>
      <c r="H44" s="98">
        <v>1</v>
      </c>
      <c r="I44" s="100">
        <v>536.70000000000005</v>
      </c>
      <c r="J44" s="100">
        <v>447.8</v>
      </c>
      <c r="K44" s="100">
        <f>J44-79.8</f>
        <v>368</v>
      </c>
      <c r="L44" s="105">
        <v>13</v>
      </c>
      <c r="M44" s="98" t="s">
        <v>275</v>
      </c>
      <c r="N44" s="98" t="s">
        <v>329</v>
      </c>
      <c r="O44" s="99">
        <v>2347200</v>
      </c>
      <c r="P44" s="99">
        <f t="shared" si="1"/>
        <v>4373.3929569591946</v>
      </c>
      <c r="Q44" s="99">
        <v>5508.1608719955275</v>
      </c>
    </row>
    <row r="45" spans="1:17" ht="35.25" x14ac:dyDescent="0.5">
      <c r="A45" s="6">
        <v>1</v>
      </c>
      <c r="B45" s="96">
        <f>SUBTOTAL(103,$A$12:A45)</f>
        <v>24</v>
      </c>
      <c r="C45" s="104" t="s">
        <v>1097</v>
      </c>
      <c r="D45" s="98">
        <v>1963</v>
      </c>
      <c r="E45" s="98"/>
      <c r="F45" s="98" t="s">
        <v>273</v>
      </c>
      <c r="G45" s="98">
        <v>2</v>
      </c>
      <c r="H45" s="98">
        <v>2</v>
      </c>
      <c r="I45" s="100">
        <v>565.29999999999995</v>
      </c>
      <c r="J45" s="100">
        <v>516.5</v>
      </c>
      <c r="K45" s="100">
        <f>J45-95.1</f>
        <v>421.4</v>
      </c>
      <c r="L45" s="105">
        <v>27</v>
      </c>
      <c r="M45" s="98" t="s">
        <v>275</v>
      </c>
      <c r="N45" s="98" t="s">
        <v>335</v>
      </c>
      <c r="O45" s="99">
        <v>2251200</v>
      </c>
      <c r="P45" s="99">
        <f t="shared" si="1"/>
        <v>3982.3102777286399</v>
      </c>
      <c r="Q45" s="99">
        <v>5015.6036440827884</v>
      </c>
    </row>
    <row r="46" spans="1:17" ht="35.25" x14ac:dyDescent="0.4">
      <c r="B46" s="104" t="s">
        <v>1114</v>
      </c>
      <c r="C46" s="104"/>
      <c r="D46" s="98" t="s">
        <v>934</v>
      </c>
      <c r="E46" s="98" t="s">
        <v>934</v>
      </c>
      <c r="F46" s="98" t="s">
        <v>934</v>
      </c>
      <c r="G46" s="98" t="s">
        <v>934</v>
      </c>
      <c r="H46" s="98" t="s">
        <v>934</v>
      </c>
      <c r="I46" s="100">
        <f>I47</f>
        <v>970.5</v>
      </c>
      <c r="J46" s="100">
        <f t="shared" ref="J46:L46" si="11">J47</f>
        <v>874</v>
      </c>
      <c r="K46" s="100">
        <f t="shared" si="11"/>
        <v>786.4</v>
      </c>
      <c r="L46" s="105">
        <f t="shared" si="11"/>
        <v>38</v>
      </c>
      <c r="M46" s="98" t="s">
        <v>934</v>
      </c>
      <c r="N46" s="98" t="s">
        <v>934</v>
      </c>
      <c r="O46" s="99">
        <v>3834600</v>
      </c>
      <c r="P46" s="99">
        <f t="shared" si="1"/>
        <v>3951.1591962905718</v>
      </c>
      <c r="Q46" s="99">
        <f>Q47</f>
        <v>4777.3149749613603</v>
      </c>
    </row>
    <row r="47" spans="1:17" ht="35.25" x14ac:dyDescent="0.5">
      <c r="A47" s="6">
        <v>1</v>
      </c>
      <c r="B47" s="96">
        <f>SUBTOTAL(103,$A$12:A47)</f>
        <v>25</v>
      </c>
      <c r="C47" s="104" t="s">
        <v>1102</v>
      </c>
      <c r="D47" s="98">
        <v>1974</v>
      </c>
      <c r="E47" s="98"/>
      <c r="F47" s="98" t="s">
        <v>273</v>
      </c>
      <c r="G47" s="98">
        <v>2</v>
      </c>
      <c r="H47" s="98">
        <v>3</v>
      </c>
      <c r="I47" s="100">
        <v>970.5</v>
      </c>
      <c r="J47" s="100">
        <v>874</v>
      </c>
      <c r="K47" s="100">
        <f>J47-87.6</f>
        <v>786.4</v>
      </c>
      <c r="L47" s="105">
        <v>38</v>
      </c>
      <c r="M47" s="98" t="s">
        <v>275</v>
      </c>
      <c r="N47" s="98" t="s">
        <v>300</v>
      </c>
      <c r="O47" s="99">
        <v>3834600</v>
      </c>
      <c r="P47" s="99">
        <f t="shared" si="1"/>
        <v>3951.1591962905718</v>
      </c>
      <c r="Q47" s="99">
        <v>4777.3149749613603</v>
      </c>
    </row>
    <row r="48" spans="1:17" ht="35.25" x14ac:dyDescent="0.4">
      <c r="B48" s="104" t="s">
        <v>894</v>
      </c>
      <c r="C48" s="104"/>
      <c r="D48" s="98" t="s">
        <v>934</v>
      </c>
      <c r="E48" s="98" t="s">
        <v>934</v>
      </c>
      <c r="F48" s="98" t="s">
        <v>934</v>
      </c>
      <c r="G48" s="98" t="s">
        <v>934</v>
      </c>
      <c r="H48" s="98" t="s">
        <v>934</v>
      </c>
      <c r="I48" s="100">
        <f>I49</f>
        <v>465</v>
      </c>
      <c r="J48" s="100">
        <f t="shared" ref="J48:L48" si="12">J49</f>
        <v>424.6</v>
      </c>
      <c r="K48" s="100">
        <f t="shared" si="12"/>
        <v>175.8</v>
      </c>
      <c r="L48" s="105">
        <f t="shared" si="12"/>
        <v>26</v>
      </c>
      <c r="M48" s="98" t="s">
        <v>934</v>
      </c>
      <c r="N48" s="98" t="s">
        <v>934</v>
      </c>
      <c r="O48" s="99">
        <v>1692000</v>
      </c>
      <c r="P48" s="99">
        <f t="shared" si="1"/>
        <v>3638.7096774193546</v>
      </c>
      <c r="Q48" s="99">
        <f>Q49</f>
        <v>4582.8487096774188</v>
      </c>
    </row>
    <row r="49" spans="1:17" ht="35.25" x14ac:dyDescent="0.5">
      <c r="A49" s="6">
        <v>1</v>
      </c>
      <c r="B49" s="96">
        <f>SUBTOTAL(103,$A$12:A49)</f>
        <v>26</v>
      </c>
      <c r="C49" s="104" t="s">
        <v>1098</v>
      </c>
      <c r="D49" s="98">
        <v>1953</v>
      </c>
      <c r="E49" s="98"/>
      <c r="F49" s="98" t="s">
        <v>273</v>
      </c>
      <c r="G49" s="98">
        <v>2</v>
      </c>
      <c r="H49" s="98">
        <v>1</v>
      </c>
      <c r="I49" s="100">
        <v>465</v>
      </c>
      <c r="J49" s="100">
        <v>424.6</v>
      </c>
      <c r="K49" s="100">
        <f>J49-248.8</f>
        <v>175.8</v>
      </c>
      <c r="L49" s="105">
        <v>26</v>
      </c>
      <c r="M49" s="98" t="s">
        <v>272</v>
      </c>
      <c r="N49" s="98" t="s">
        <v>274</v>
      </c>
      <c r="O49" s="99">
        <v>1692000</v>
      </c>
      <c r="P49" s="99">
        <f t="shared" si="1"/>
        <v>3638.7096774193546</v>
      </c>
      <c r="Q49" s="99">
        <v>4582.8487096774188</v>
      </c>
    </row>
    <row r="50" spans="1:17" ht="35.25" x14ac:dyDescent="0.4">
      <c r="B50" s="104" t="s">
        <v>900</v>
      </c>
      <c r="C50" s="104"/>
      <c r="D50" s="98" t="s">
        <v>934</v>
      </c>
      <c r="E50" s="98" t="s">
        <v>934</v>
      </c>
      <c r="F50" s="98" t="s">
        <v>934</v>
      </c>
      <c r="G50" s="98" t="s">
        <v>934</v>
      </c>
      <c r="H50" s="98" t="s">
        <v>934</v>
      </c>
      <c r="I50" s="100">
        <f>I51</f>
        <v>943.2</v>
      </c>
      <c r="J50" s="100">
        <f t="shared" ref="J50:L50" si="13">J51</f>
        <v>861.5</v>
      </c>
      <c r="K50" s="100">
        <f t="shared" si="13"/>
        <v>816.5</v>
      </c>
      <c r="L50" s="105">
        <f t="shared" si="13"/>
        <v>31</v>
      </c>
      <c r="M50" s="98" t="s">
        <v>934</v>
      </c>
      <c r="N50" s="98" t="s">
        <v>934</v>
      </c>
      <c r="O50" s="99">
        <v>3696000</v>
      </c>
      <c r="P50" s="99">
        <f t="shared" si="1"/>
        <v>3918.5750636132316</v>
      </c>
      <c r="Q50" s="99">
        <f>Q51</f>
        <v>4935.3310008481767</v>
      </c>
    </row>
    <row r="51" spans="1:17" ht="35.25" x14ac:dyDescent="0.5">
      <c r="A51" s="6">
        <v>1</v>
      </c>
      <c r="B51" s="96">
        <f>SUBTOTAL(103,$A$12:A51)</f>
        <v>27</v>
      </c>
      <c r="C51" s="104" t="s">
        <v>1101</v>
      </c>
      <c r="D51" s="98">
        <v>1980</v>
      </c>
      <c r="E51" s="98"/>
      <c r="F51" s="98" t="s">
        <v>273</v>
      </c>
      <c r="G51" s="98">
        <v>2</v>
      </c>
      <c r="H51" s="98">
        <v>3</v>
      </c>
      <c r="I51" s="100">
        <v>943.2</v>
      </c>
      <c r="J51" s="100">
        <v>861.5</v>
      </c>
      <c r="K51" s="100">
        <f>J51-45</f>
        <v>816.5</v>
      </c>
      <c r="L51" s="105">
        <v>31</v>
      </c>
      <c r="M51" s="98" t="s">
        <v>275</v>
      </c>
      <c r="N51" s="98" t="s">
        <v>288</v>
      </c>
      <c r="O51" s="99">
        <v>3696000</v>
      </c>
      <c r="P51" s="99">
        <f t="shared" si="1"/>
        <v>3918.5750636132316</v>
      </c>
      <c r="Q51" s="99">
        <v>4935.3310008481767</v>
      </c>
    </row>
    <row r="52" spans="1:17" ht="35.25" x14ac:dyDescent="0.4">
      <c r="B52" s="104" t="s">
        <v>902</v>
      </c>
      <c r="C52" s="104"/>
      <c r="D52" s="98" t="s">
        <v>934</v>
      </c>
      <c r="E52" s="98" t="s">
        <v>934</v>
      </c>
      <c r="F52" s="98" t="s">
        <v>934</v>
      </c>
      <c r="G52" s="98" t="s">
        <v>934</v>
      </c>
      <c r="H52" s="98" t="s">
        <v>934</v>
      </c>
      <c r="I52" s="100">
        <f>I54+I53+I55</f>
        <v>2249.1999999999998</v>
      </c>
      <c r="J52" s="100">
        <f t="shared" ref="J52:L52" si="14">J54+J53+J55</f>
        <v>2068.4</v>
      </c>
      <c r="K52" s="100">
        <f t="shared" si="14"/>
        <v>2023.6000000000001</v>
      </c>
      <c r="L52" s="105">
        <f t="shared" si="14"/>
        <v>104</v>
      </c>
      <c r="M52" s="98" t="s">
        <v>934</v>
      </c>
      <c r="N52" s="98" t="s">
        <v>934</v>
      </c>
      <c r="O52" s="99">
        <v>5561408.3912315276</v>
      </c>
      <c r="P52" s="99">
        <f t="shared" si="1"/>
        <v>2472.6162152016395</v>
      </c>
      <c r="Q52" s="99">
        <f>MAX(Q53:Q55)</f>
        <v>5407.5219291014018</v>
      </c>
    </row>
    <row r="53" spans="1:17" ht="35.25" x14ac:dyDescent="0.5">
      <c r="A53" s="6">
        <v>1</v>
      </c>
      <c r="B53" s="96">
        <f>SUBTOTAL(103,$A$12:A53)</f>
        <v>28</v>
      </c>
      <c r="C53" s="104" t="s">
        <v>1147</v>
      </c>
      <c r="D53" s="98">
        <v>1980</v>
      </c>
      <c r="E53" s="98"/>
      <c r="F53" s="98" t="s">
        <v>326</v>
      </c>
      <c r="G53" s="98">
        <v>3</v>
      </c>
      <c r="H53" s="98">
        <v>3</v>
      </c>
      <c r="I53" s="100">
        <v>1481.6</v>
      </c>
      <c r="J53" s="100">
        <v>1361.4</v>
      </c>
      <c r="K53" s="100">
        <v>1361.4</v>
      </c>
      <c r="L53" s="105">
        <v>70</v>
      </c>
      <c r="M53" s="98" t="s">
        <v>272</v>
      </c>
      <c r="N53" s="98" t="s">
        <v>274</v>
      </c>
      <c r="O53" s="99">
        <v>2652760</v>
      </c>
      <c r="P53" s="99">
        <f t="shared" si="1"/>
        <v>1790.4697624190067</v>
      </c>
      <c r="Q53" s="99">
        <v>2460.0484840712743</v>
      </c>
    </row>
    <row r="54" spans="1:17" ht="35.25" x14ac:dyDescent="0.5">
      <c r="A54" s="6">
        <v>1</v>
      </c>
      <c r="B54" s="96">
        <f>SUBTOTAL(103,$A$12:A54)</f>
        <v>29</v>
      </c>
      <c r="C54" s="104" t="s">
        <v>1099</v>
      </c>
      <c r="D54" s="98">
        <v>1970</v>
      </c>
      <c r="E54" s="98"/>
      <c r="F54" s="98" t="s">
        <v>273</v>
      </c>
      <c r="G54" s="98">
        <v>2</v>
      </c>
      <c r="H54" s="98">
        <v>1</v>
      </c>
      <c r="I54" s="100">
        <v>403.7</v>
      </c>
      <c r="J54" s="100">
        <v>373</v>
      </c>
      <c r="K54" s="100">
        <f>J54-44.8</f>
        <v>328.2</v>
      </c>
      <c r="L54" s="105">
        <v>20</v>
      </c>
      <c r="M54" s="98" t="s">
        <v>272</v>
      </c>
      <c r="N54" s="98" t="s">
        <v>274</v>
      </c>
      <c r="O54" s="99">
        <v>1248598.3912315271</v>
      </c>
      <c r="P54" s="99">
        <f t="shared" si="1"/>
        <v>3092.8867754063094</v>
      </c>
      <c r="Q54" s="99">
        <v>4759.416539509537</v>
      </c>
    </row>
    <row r="55" spans="1:17" ht="35.25" x14ac:dyDescent="0.5">
      <c r="A55" s="6">
        <v>1</v>
      </c>
      <c r="B55" s="96">
        <f>SUBTOTAL(103,$A$12:A55)</f>
        <v>30</v>
      </c>
      <c r="C55" s="104" t="s">
        <v>196</v>
      </c>
      <c r="D55" s="98">
        <v>1968</v>
      </c>
      <c r="E55" s="98"/>
      <c r="F55" s="98" t="s">
        <v>273</v>
      </c>
      <c r="G55" s="98">
        <v>2</v>
      </c>
      <c r="H55" s="98">
        <v>1</v>
      </c>
      <c r="I55" s="100">
        <v>363.9</v>
      </c>
      <c r="J55" s="100">
        <v>334</v>
      </c>
      <c r="K55" s="100">
        <v>334</v>
      </c>
      <c r="L55" s="105">
        <v>14</v>
      </c>
      <c r="M55" s="98" t="s">
        <v>272</v>
      </c>
      <c r="N55" s="99" t="s">
        <v>274</v>
      </c>
      <c r="O55" s="99">
        <v>1660050</v>
      </c>
      <c r="P55" s="99">
        <f t="shared" si="1"/>
        <v>4561.8301731244846</v>
      </c>
      <c r="Q55" s="99">
        <v>5407.5219291014018</v>
      </c>
    </row>
    <row r="56" spans="1:17" ht="35.25" x14ac:dyDescent="0.4">
      <c r="B56" s="104" t="s">
        <v>901</v>
      </c>
      <c r="C56" s="104"/>
      <c r="D56" s="98" t="s">
        <v>934</v>
      </c>
      <c r="E56" s="98" t="s">
        <v>934</v>
      </c>
      <c r="F56" s="98" t="s">
        <v>934</v>
      </c>
      <c r="G56" s="98" t="s">
        <v>934</v>
      </c>
      <c r="H56" s="98" t="s">
        <v>934</v>
      </c>
      <c r="I56" s="100">
        <f>I57</f>
        <v>940.4</v>
      </c>
      <c r="J56" s="100">
        <f t="shared" ref="J56:L56" si="15">J57</f>
        <v>558.4</v>
      </c>
      <c r="K56" s="100">
        <f t="shared" si="15"/>
        <v>558.4</v>
      </c>
      <c r="L56" s="105">
        <f t="shared" si="15"/>
        <v>26</v>
      </c>
      <c r="M56" s="98" t="s">
        <v>934</v>
      </c>
      <c r="N56" s="98" t="s">
        <v>934</v>
      </c>
      <c r="O56" s="99">
        <v>2736000</v>
      </c>
      <c r="P56" s="99">
        <f t="shared" si="1"/>
        <v>2909.4002552105489</v>
      </c>
      <c r="Q56" s="99">
        <f>Q57</f>
        <v>3664.3047639302426</v>
      </c>
    </row>
    <row r="57" spans="1:17" ht="35.25" x14ac:dyDescent="0.5">
      <c r="A57" s="6">
        <v>1</v>
      </c>
      <c r="B57" s="96">
        <f>SUBTOTAL(103,$A$12:A57)</f>
        <v>31</v>
      </c>
      <c r="C57" s="104" t="s">
        <v>1136</v>
      </c>
      <c r="D57" s="98">
        <v>1987</v>
      </c>
      <c r="E57" s="98"/>
      <c r="F57" s="98" t="s">
        <v>273</v>
      </c>
      <c r="G57" s="106">
        <v>2</v>
      </c>
      <c r="H57" s="106">
        <v>2</v>
      </c>
      <c r="I57" s="100">
        <v>940.4</v>
      </c>
      <c r="J57" s="100">
        <v>558.4</v>
      </c>
      <c r="K57" s="100">
        <f>J57</f>
        <v>558.4</v>
      </c>
      <c r="L57" s="105">
        <v>26</v>
      </c>
      <c r="M57" s="98" t="s">
        <v>275</v>
      </c>
      <c r="N57" s="98" t="s">
        <v>1138</v>
      </c>
      <c r="O57" s="99">
        <v>2736000</v>
      </c>
      <c r="P57" s="99">
        <f t="shared" si="1"/>
        <v>2909.4002552105489</v>
      </c>
      <c r="Q57" s="99">
        <v>3664.3047639302426</v>
      </c>
    </row>
    <row r="58" spans="1:17" ht="35.25" x14ac:dyDescent="0.5">
      <c r="B58" s="151" t="s">
        <v>877</v>
      </c>
      <c r="C58" s="104"/>
      <c r="D58" s="98" t="s">
        <v>934</v>
      </c>
      <c r="E58" s="98" t="s">
        <v>934</v>
      </c>
      <c r="F58" s="98" t="s">
        <v>934</v>
      </c>
      <c r="G58" s="106" t="s">
        <v>934</v>
      </c>
      <c r="H58" s="106" t="s">
        <v>934</v>
      </c>
      <c r="I58" s="100">
        <f>I59</f>
        <v>1743.7</v>
      </c>
      <c r="J58" s="100">
        <f t="shared" ref="J58:L58" si="16">J59</f>
        <v>1557.1</v>
      </c>
      <c r="K58" s="100">
        <f t="shared" si="16"/>
        <v>1557.1</v>
      </c>
      <c r="L58" s="105">
        <f t="shared" si="16"/>
        <v>65</v>
      </c>
      <c r="M58" s="98" t="s">
        <v>934</v>
      </c>
      <c r="N58" s="98" t="s">
        <v>934</v>
      </c>
      <c r="O58" s="99">
        <v>2144509.73</v>
      </c>
      <c r="P58" s="99">
        <f t="shared" si="1"/>
        <v>1229.8616333084819</v>
      </c>
      <c r="Q58" s="99">
        <f>Q59</f>
        <v>3255.8500000000004</v>
      </c>
    </row>
    <row r="59" spans="1:17" ht="35.25" x14ac:dyDescent="0.5">
      <c r="A59" s="6">
        <v>1</v>
      </c>
      <c r="B59" s="96">
        <f>SUBTOTAL(103,$A$12:A59)</f>
        <v>32</v>
      </c>
      <c r="C59" s="104" t="s">
        <v>1481</v>
      </c>
      <c r="D59" s="98">
        <v>1978</v>
      </c>
      <c r="E59" s="98"/>
      <c r="F59" s="98" t="s">
        <v>273</v>
      </c>
      <c r="G59" s="106">
        <v>3</v>
      </c>
      <c r="H59" s="106">
        <v>3</v>
      </c>
      <c r="I59" s="100">
        <v>1743.7</v>
      </c>
      <c r="J59" s="100">
        <v>1557.1</v>
      </c>
      <c r="K59" s="100">
        <v>1557.1</v>
      </c>
      <c r="L59" s="105">
        <v>65</v>
      </c>
      <c r="M59" s="98" t="s">
        <v>275</v>
      </c>
      <c r="N59" s="98" t="s">
        <v>853</v>
      </c>
      <c r="O59" s="99">
        <v>2144509.73</v>
      </c>
      <c r="P59" s="99">
        <f t="shared" si="1"/>
        <v>1229.8616333084819</v>
      </c>
      <c r="Q59" s="99">
        <v>3255.8500000000004</v>
      </c>
    </row>
    <row r="60" spans="1:17" ht="35.25" x14ac:dyDescent="0.5">
      <c r="B60" s="151" t="s">
        <v>913</v>
      </c>
      <c r="C60" s="104"/>
      <c r="D60" s="98" t="s">
        <v>934</v>
      </c>
      <c r="E60" s="98" t="s">
        <v>934</v>
      </c>
      <c r="F60" s="98" t="s">
        <v>934</v>
      </c>
      <c r="G60" s="106" t="s">
        <v>934</v>
      </c>
      <c r="H60" s="106" t="s">
        <v>934</v>
      </c>
      <c r="I60" s="100">
        <f>I61</f>
        <v>1105.0999999999999</v>
      </c>
      <c r="J60" s="100">
        <f t="shared" ref="J60:L60" si="17">J61</f>
        <v>953.3</v>
      </c>
      <c r="K60" s="100">
        <f t="shared" si="17"/>
        <v>870.1</v>
      </c>
      <c r="L60" s="105">
        <f t="shared" si="17"/>
        <v>44</v>
      </c>
      <c r="M60" s="98" t="s">
        <v>934</v>
      </c>
      <c r="N60" s="98" t="s">
        <v>934</v>
      </c>
      <c r="O60" s="99">
        <v>1590688.46</v>
      </c>
      <c r="P60" s="99">
        <f t="shared" si="1"/>
        <v>1439.4068048140441</v>
      </c>
      <c r="Q60" s="99">
        <f>Q61</f>
        <v>1439.4068048140441</v>
      </c>
    </row>
    <row r="61" spans="1:17" ht="35.25" x14ac:dyDescent="0.5">
      <c r="A61" s="6">
        <v>1</v>
      </c>
      <c r="B61" s="96">
        <f>SUBTOTAL(103,$A$12:A61)</f>
        <v>33</v>
      </c>
      <c r="C61" s="104" t="s">
        <v>1482</v>
      </c>
      <c r="D61" s="98">
        <v>1979</v>
      </c>
      <c r="E61" s="98"/>
      <c r="F61" s="98" t="s">
        <v>273</v>
      </c>
      <c r="G61" s="106">
        <v>2</v>
      </c>
      <c r="H61" s="106">
        <v>3</v>
      </c>
      <c r="I61" s="100">
        <v>1105.0999999999999</v>
      </c>
      <c r="J61" s="100">
        <v>953.3</v>
      </c>
      <c r="K61" s="100">
        <v>870.1</v>
      </c>
      <c r="L61" s="105">
        <v>44</v>
      </c>
      <c r="M61" s="98" t="s">
        <v>275</v>
      </c>
      <c r="N61" s="98" t="s">
        <v>1437</v>
      </c>
      <c r="O61" s="99">
        <v>1590688.46</v>
      </c>
      <c r="P61" s="99">
        <f t="shared" si="1"/>
        <v>1439.4068048140441</v>
      </c>
      <c r="Q61" s="99">
        <v>1439.4068048140441</v>
      </c>
    </row>
    <row r="62" spans="1:17" ht="45.75" x14ac:dyDescent="0.25">
      <c r="B62" s="250" t="s">
        <v>1483</v>
      </c>
      <c r="C62" s="251"/>
      <c r="D62" s="251"/>
      <c r="E62" s="251"/>
      <c r="F62" s="251"/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2"/>
    </row>
    <row r="63" spans="1:17" ht="35.25" x14ac:dyDescent="0.5">
      <c r="B63" s="152" t="s">
        <v>1115</v>
      </c>
      <c r="C63" s="152"/>
      <c r="D63" s="153" t="s">
        <v>794</v>
      </c>
      <c r="E63" s="153" t="s">
        <v>794</v>
      </c>
      <c r="F63" s="154" t="s">
        <v>794</v>
      </c>
      <c r="G63" s="154" t="s">
        <v>794</v>
      </c>
      <c r="H63" s="154" t="s">
        <v>794</v>
      </c>
      <c r="I63" s="110">
        <f>I64+I71+I74+I91+I98+I103+I130+I144+I150+I153+I155+I157+I162+I164+I166+I169+I172+I174+I176+I180+I182+I184+I186+I188+I190+I192+I195</f>
        <v>269513.32</v>
      </c>
      <c r="J63" s="110">
        <f t="shared" ref="J63:L63" si="18">J64+J71+J74+J91+J98+J103+J130+J144+J150+J153+J155+J157+J162+J164+J166+J169+J172+J174+J176+J180+J182+J184+J186+J188+J190+J192+J195</f>
        <v>225627.94000000003</v>
      </c>
      <c r="K63" s="110">
        <f t="shared" si="18"/>
        <v>201660.53999999995</v>
      </c>
      <c r="L63" s="155">
        <f t="shared" si="18"/>
        <v>11346</v>
      </c>
      <c r="M63" s="153" t="s">
        <v>934</v>
      </c>
      <c r="N63" s="156" t="s">
        <v>934</v>
      </c>
      <c r="O63" s="110">
        <v>44015453.809999995</v>
      </c>
      <c r="P63" s="110">
        <f>O63/I63</f>
        <v>163.31457684540413</v>
      </c>
      <c r="Q63" s="110">
        <f>MAX(Q64:Q196)</f>
        <v>20482.818986175116</v>
      </c>
    </row>
    <row r="64" spans="1:17" ht="35.25" x14ac:dyDescent="0.5">
      <c r="B64" s="152" t="s">
        <v>858</v>
      </c>
      <c r="C64" s="152"/>
      <c r="D64" s="153" t="s">
        <v>794</v>
      </c>
      <c r="E64" s="153" t="s">
        <v>794</v>
      </c>
      <c r="F64" s="154" t="s">
        <v>794</v>
      </c>
      <c r="G64" s="153" t="s">
        <v>794</v>
      </c>
      <c r="H64" s="153" t="s">
        <v>794</v>
      </c>
      <c r="I64" s="110">
        <f>SUM(I65:I70)</f>
        <v>13682.619999999999</v>
      </c>
      <c r="J64" s="110">
        <f>SUM(J65:J70)</f>
        <v>11157.02</v>
      </c>
      <c r="K64" s="110">
        <f>SUM(K65:K70)</f>
        <v>10128.199999999999</v>
      </c>
      <c r="L64" s="155">
        <f>SUM(L65:L70)</f>
        <v>744</v>
      </c>
      <c r="M64" s="153" t="s">
        <v>934</v>
      </c>
      <c r="N64" s="153" t="s">
        <v>934</v>
      </c>
      <c r="O64" s="110">
        <v>4055618.86</v>
      </c>
      <c r="P64" s="110">
        <f t="shared" ref="P64:P128" si="19">O64/I64</f>
        <v>296.40659902854861</v>
      </c>
      <c r="Q64" s="110">
        <f>MAX(Q65:Q70)</f>
        <v>3321.838662308749</v>
      </c>
    </row>
    <row r="65" spans="1:17" ht="35.25" x14ac:dyDescent="0.5">
      <c r="A65" s="6">
        <v>1</v>
      </c>
      <c r="B65" s="96">
        <f>SUBTOTAL(103,$A$65:A65)</f>
        <v>1</v>
      </c>
      <c r="C65" s="157" t="s">
        <v>658</v>
      </c>
      <c r="D65" s="153">
        <v>1965</v>
      </c>
      <c r="E65" s="153"/>
      <c r="F65" s="154" t="s">
        <v>273</v>
      </c>
      <c r="G65" s="153">
        <v>5</v>
      </c>
      <c r="H65" s="153">
        <v>2</v>
      </c>
      <c r="I65" s="110">
        <v>2985.38</v>
      </c>
      <c r="J65" s="110">
        <v>2398.58</v>
      </c>
      <c r="K65" s="110">
        <v>1889.27</v>
      </c>
      <c r="L65" s="155">
        <v>202</v>
      </c>
      <c r="M65" s="153" t="s">
        <v>275</v>
      </c>
      <c r="N65" s="153" t="s">
        <v>1387</v>
      </c>
      <c r="O65" s="110">
        <v>806603.3</v>
      </c>
      <c r="P65" s="110">
        <f t="shared" si="19"/>
        <v>270.18446562916614</v>
      </c>
      <c r="Q65" s="110">
        <v>1724.9136887096449</v>
      </c>
    </row>
    <row r="66" spans="1:17" ht="35.25" x14ac:dyDescent="0.5">
      <c r="A66" s="6">
        <v>1</v>
      </c>
      <c r="B66" s="96">
        <f>SUBTOTAL(103,$A$65:A66)</f>
        <v>2</v>
      </c>
      <c r="C66" s="157" t="s">
        <v>1499</v>
      </c>
      <c r="D66" s="153">
        <v>1986</v>
      </c>
      <c r="E66" s="153"/>
      <c r="F66" s="154" t="s">
        <v>273</v>
      </c>
      <c r="G66" s="153">
        <v>4</v>
      </c>
      <c r="H66" s="153">
        <v>1</v>
      </c>
      <c r="I66" s="110">
        <v>2374.1999999999998</v>
      </c>
      <c r="J66" s="110">
        <v>1689.3</v>
      </c>
      <c r="K66" s="110">
        <v>1639.4</v>
      </c>
      <c r="L66" s="155">
        <v>151</v>
      </c>
      <c r="M66" s="153" t="s">
        <v>275</v>
      </c>
      <c r="N66" s="156" t="s">
        <v>1599</v>
      </c>
      <c r="O66" s="110">
        <v>746025</v>
      </c>
      <c r="P66" s="110">
        <f t="shared" si="19"/>
        <v>314.22163254991159</v>
      </c>
      <c r="Q66" s="110">
        <v>2295.502565074552</v>
      </c>
    </row>
    <row r="67" spans="1:17" ht="35.25" x14ac:dyDescent="0.5">
      <c r="A67" s="6">
        <v>1</v>
      </c>
      <c r="B67" s="96">
        <f>SUBTOTAL(103,$A$65:A67)</f>
        <v>3</v>
      </c>
      <c r="C67" s="157" t="s">
        <v>1500</v>
      </c>
      <c r="D67" s="153">
        <v>1969</v>
      </c>
      <c r="E67" s="153"/>
      <c r="F67" s="154" t="s">
        <v>273</v>
      </c>
      <c r="G67" s="153">
        <v>5</v>
      </c>
      <c r="H67" s="153">
        <v>4</v>
      </c>
      <c r="I67" s="110">
        <v>2953.64</v>
      </c>
      <c r="J67" s="110">
        <v>2684.14</v>
      </c>
      <c r="K67" s="110">
        <v>2616.34</v>
      </c>
      <c r="L67" s="155">
        <v>107</v>
      </c>
      <c r="M67" s="153" t="s">
        <v>275</v>
      </c>
      <c r="N67" s="156" t="s">
        <v>1149</v>
      </c>
      <c r="O67" s="110">
        <v>1849341.27</v>
      </c>
      <c r="P67" s="110">
        <f t="shared" si="19"/>
        <v>626.12277393318084</v>
      </c>
      <c r="Q67" s="110">
        <v>1659.9409745263472</v>
      </c>
    </row>
    <row r="68" spans="1:17" ht="35.25" x14ac:dyDescent="0.5">
      <c r="A68" s="6">
        <v>1</v>
      </c>
      <c r="B68" s="96">
        <f>SUBTOTAL(103,$A$65:A68)</f>
        <v>4</v>
      </c>
      <c r="C68" s="157" t="s">
        <v>1501</v>
      </c>
      <c r="D68" s="153">
        <v>1928</v>
      </c>
      <c r="E68" s="153"/>
      <c r="F68" s="154" t="s">
        <v>273</v>
      </c>
      <c r="G68" s="153">
        <v>3</v>
      </c>
      <c r="H68" s="153">
        <v>2</v>
      </c>
      <c r="I68" s="110">
        <v>884.1</v>
      </c>
      <c r="J68" s="110">
        <v>763.7</v>
      </c>
      <c r="K68" s="110">
        <v>441.4</v>
      </c>
      <c r="L68" s="155">
        <v>48</v>
      </c>
      <c r="M68" s="153" t="s">
        <v>275</v>
      </c>
      <c r="N68" s="153" t="s">
        <v>1600</v>
      </c>
      <c r="O68" s="110">
        <v>293914.46999999997</v>
      </c>
      <c r="P68" s="110">
        <f t="shared" si="19"/>
        <v>332.44482524601284</v>
      </c>
      <c r="Q68" s="110">
        <v>703.11</v>
      </c>
    </row>
    <row r="69" spans="1:17" ht="35.25" x14ac:dyDescent="0.5">
      <c r="A69" s="6">
        <v>1</v>
      </c>
      <c r="B69" s="96">
        <f>SUBTOTAL(103,$A$65:A69)</f>
        <v>5</v>
      </c>
      <c r="C69" s="157" t="s">
        <v>1502</v>
      </c>
      <c r="D69" s="153">
        <v>1958</v>
      </c>
      <c r="E69" s="153"/>
      <c r="F69" s="154" t="s">
        <v>273</v>
      </c>
      <c r="G69" s="153">
        <v>3</v>
      </c>
      <c r="H69" s="153">
        <v>3</v>
      </c>
      <c r="I69" s="110">
        <v>2111.1</v>
      </c>
      <c r="J69" s="110">
        <v>1932</v>
      </c>
      <c r="K69" s="110">
        <v>1902.39</v>
      </c>
      <c r="L69" s="155">
        <v>85</v>
      </c>
      <c r="M69" s="153" t="s">
        <v>272</v>
      </c>
      <c r="N69" s="153" t="s">
        <v>274</v>
      </c>
      <c r="O69" s="110">
        <v>247660</v>
      </c>
      <c r="P69" s="110">
        <f t="shared" si="19"/>
        <v>117.31324901710009</v>
      </c>
      <c r="Q69" s="110">
        <v>3321.838662308749</v>
      </c>
    </row>
    <row r="70" spans="1:17" ht="35.25" x14ac:dyDescent="0.5">
      <c r="A70" s="6">
        <v>1</v>
      </c>
      <c r="B70" s="96">
        <f>SUBTOTAL(103,$A$65:A70)</f>
        <v>6</v>
      </c>
      <c r="C70" s="157" t="s">
        <v>1503</v>
      </c>
      <c r="D70" s="153">
        <v>1986</v>
      </c>
      <c r="E70" s="153"/>
      <c r="F70" s="154" t="s">
        <v>273</v>
      </c>
      <c r="G70" s="153">
        <v>4</v>
      </c>
      <c r="H70" s="153">
        <v>1</v>
      </c>
      <c r="I70" s="110">
        <v>2374.1999999999998</v>
      </c>
      <c r="J70" s="110">
        <v>1689.3</v>
      </c>
      <c r="K70" s="110">
        <v>1639.4</v>
      </c>
      <c r="L70" s="155">
        <v>151</v>
      </c>
      <c r="M70" s="153" t="s">
        <v>275</v>
      </c>
      <c r="N70" s="153" t="s">
        <v>1599</v>
      </c>
      <c r="O70" s="110">
        <v>112074.81999999999</v>
      </c>
      <c r="P70" s="110">
        <f t="shared" si="19"/>
        <v>47.205298626905908</v>
      </c>
      <c r="Q70" s="110">
        <v>2800.9460028641229</v>
      </c>
    </row>
    <row r="71" spans="1:17" ht="35.25" x14ac:dyDescent="0.5">
      <c r="B71" s="152" t="s">
        <v>862</v>
      </c>
      <c r="C71" s="157"/>
      <c r="D71" s="153" t="s">
        <v>794</v>
      </c>
      <c r="E71" s="153" t="s">
        <v>794</v>
      </c>
      <c r="F71" s="153" t="s">
        <v>794</v>
      </c>
      <c r="G71" s="153" t="s">
        <v>794</v>
      </c>
      <c r="H71" s="153" t="s">
        <v>794</v>
      </c>
      <c r="I71" s="110">
        <f>I72+I73</f>
        <v>1994.9</v>
      </c>
      <c r="J71" s="110">
        <f>J72+J73</f>
        <v>1785.1999999999998</v>
      </c>
      <c r="K71" s="110">
        <f>K72+K73</f>
        <v>1722.9</v>
      </c>
      <c r="L71" s="155">
        <f>L72+L73</f>
        <v>91</v>
      </c>
      <c r="M71" s="153" t="s">
        <v>934</v>
      </c>
      <c r="N71" s="153" t="s">
        <v>934</v>
      </c>
      <c r="O71" s="110">
        <v>36746.29</v>
      </c>
      <c r="P71" s="110">
        <f t="shared" si="19"/>
        <v>18.420116296556216</v>
      </c>
      <c r="Q71" s="110">
        <f>MAX(Q72:Q73)</f>
        <v>5303.8407140144318</v>
      </c>
    </row>
    <row r="72" spans="1:17" ht="35.25" x14ac:dyDescent="0.5">
      <c r="A72" s="6">
        <v>1</v>
      </c>
      <c r="B72" s="96">
        <f>SUBTOTAL(103,$A$65:A72)</f>
        <v>7</v>
      </c>
      <c r="C72" s="157" t="s">
        <v>1504</v>
      </c>
      <c r="D72" s="153">
        <v>1979</v>
      </c>
      <c r="E72" s="153"/>
      <c r="F72" s="154" t="s">
        <v>273</v>
      </c>
      <c r="G72" s="153">
        <v>2</v>
      </c>
      <c r="H72" s="153">
        <v>3</v>
      </c>
      <c r="I72" s="110">
        <v>1053.2</v>
      </c>
      <c r="J72" s="110">
        <v>928.3</v>
      </c>
      <c r="K72" s="110">
        <v>866</v>
      </c>
      <c r="L72" s="155">
        <v>38</v>
      </c>
      <c r="M72" s="153" t="s">
        <v>272</v>
      </c>
      <c r="N72" s="156" t="s">
        <v>274</v>
      </c>
      <c r="O72" s="110">
        <v>11476.890000000001</v>
      </c>
      <c r="P72" s="110">
        <f t="shared" si="19"/>
        <v>10.897161033042158</v>
      </c>
      <c r="Q72" s="110">
        <v>5303.8407140144318</v>
      </c>
    </row>
    <row r="73" spans="1:17" ht="35.25" x14ac:dyDescent="0.5">
      <c r="A73" s="6">
        <v>1</v>
      </c>
      <c r="B73" s="96">
        <f>SUBTOTAL(103,$A$65:A73)</f>
        <v>8</v>
      </c>
      <c r="C73" s="157" t="s">
        <v>1505</v>
      </c>
      <c r="D73" s="153">
        <v>1980</v>
      </c>
      <c r="E73" s="153"/>
      <c r="F73" s="154" t="s">
        <v>273</v>
      </c>
      <c r="G73" s="153">
        <v>2</v>
      </c>
      <c r="H73" s="153">
        <v>3</v>
      </c>
      <c r="I73" s="110">
        <v>941.7</v>
      </c>
      <c r="J73" s="110">
        <v>856.9</v>
      </c>
      <c r="K73" s="110">
        <v>856.9</v>
      </c>
      <c r="L73" s="155">
        <v>53</v>
      </c>
      <c r="M73" s="153" t="s">
        <v>272</v>
      </c>
      <c r="N73" s="156" t="s">
        <v>274</v>
      </c>
      <c r="O73" s="110">
        <v>25269.399999999998</v>
      </c>
      <c r="P73" s="110">
        <f t="shared" si="19"/>
        <v>26.833811192524156</v>
      </c>
      <c r="Q73" s="110">
        <v>4789.1187851757459</v>
      </c>
    </row>
    <row r="74" spans="1:17" ht="35.25" x14ac:dyDescent="0.5">
      <c r="B74" s="152" t="s">
        <v>1111</v>
      </c>
      <c r="C74" s="157"/>
      <c r="D74" s="153" t="s">
        <v>794</v>
      </c>
      <c r="E74" s="153" t="s">
        <v>794</v>
      </c>
      <c r="F74" s="154" t="s">
        <v>794</v>
      </c>
      <c r="G74" s="153" t="s">
        <v>794</v>
      </c>
      <c r="H74" s="153" t="s">
        <v>794</v>
      </c>
      <c r="I74" s="110">
        <f>SUM(I75:I90)</f>
        <v>25751.239999999998</v>
      </c>
      <c r="J74" s="110">
        <f t="shared" ref="J74:L74" si="20">SUM(J75:J90)</f>
        <v>21750.039999999997</v>
      </c>
      <c r="K74" s="110">
        <f t="shared" si="20"/>
        <v>19819.400000000001</v>
      </c>
      <c r="L74" s="155">
        <f t="shared" si="20"/>
        <v>1014</v>
      </c>
      <c r="M74" s="153" t="s">
        <v>934</v>
      </c>
      <c r="N74" s="153" t="s">
        <v>934</v>
      </c>
      <c r="O74" s="110">
        <v>1647801.5700000003</v>
      </c>
      <c r="P74" s="110">
        <f t="shared" si="19"/>
        <v>63.989212558307891</v>
      </c>
      <c r="Q74" s="110">
        <f>MAX(Q75:Q89)</f>
        <v>20482.818986175116</v>
      </c>
    </row>
    <row r="75" spans="1:17" ht="35.25" x14ac:dyDescent="0.5">
      <c r="A75" s="6">
        <v>1</v>
      </c>
      <c r="B75" s="96">
        <f>SUBTOTAL(103,$A$65:A75)</f>
        <v>9</v>
      </c>
      <c r="C75" s="157" t="s">
        <v>1506</v>
      </c>
      <c r="D75" s="153">
        <v>1966</v>
      </c>
      <c r="E75" s="153"/>
      <c r="F75" s="154" t="s">
        <v>273</v>
      </c>
      <c r="G75" s="153">
        <v>5</v>
      </c>
      <c r="H75" s="153">
        <v>4</v>
      </c>
      <c r="I75" s="110">
        <v>4070</v>
      </c>
      <c r="J75" s="110">
        <v>3151.1</v>
      </c>
      <c r="K75" s="110">
        <v>2925.4</v>
      </c>
      <c r="L75" s="155">
        <v>137</v>
      </c>
      <c r="M75" s="153" t="s">
        <v>275</v>
      </c>
      <c r="N75" s="156" t="s">
        <v>1602</v>
      </c>
      <c r="O75" s="110">
        <v>11703.439999999999</v>
      </c>
      <c r="P75" s="110">
        <f t="shared" si="19"/>
        <v>2.8755380835380833</v>
      </c>
      <c r="Q75" s="110">
        <v>1663.6155282555283</v>
      </c>
    </row>
    <row r="76" spans="1:17" ht="35.25" x14ac:dyDescent="0.5">
      <c r="A76" s="6">
        <v>1</v>
      </c>
      <c r="B76" s="96">
        <f>SUBTOTAL(103,$A$65:A76)</f>
        <v>10</v>
      </c>
      <c r="C76" s="157" t="s">
        <v>1507</v>
      </c>
      <c r="D76" s="153">
        <v>1960</v>
      </c>
      <c r="E76" s="153">
        <v>2006</v>
      </c>
      <c r="F76" s="154" t="s">
        <v>273</v>
      </c>
      <c r="G76" s="153">
        <v>2</v>
      </c>
      <c r="H76" s="153">
        <v>3</v>
      </c>
      <c r="I76" s="110">
        <v>1011.9</v>
      </c>
      <c r="J76" s="110">
        <v>804.7</v>
      </c>
      <c r="K76" s="110">
        <v>655.4</v>
      </c>
      <c r="L76" s="155">
        <v>42</v>
      </c>
      <c r="M76" s="153" t="s">
        <v>275</v>
      </c>
      <c r="N76" s="156" t="s">
        <v>1603</v>
      </c>
      <c r="O76" s="110">
        <v>173871.57</v>
      </c>
      <c r="P76" s="110">
        <f t="shared" si="19"/>
        <v>171.8268307144975</v>
      </c>
      <c r="Q76" s="110">
        <v>4350.0546844549854</v>
      </c>
    </row>
    <row r="77" spans="1:17" ht="35.25" x14ac:dyDescent="0.5">
      <c r="A77" s="6">
        <v>1</v>
      </c>
      <c r="B77" s="96">
        <f>SUBTOTAL(103,$A$65:A77)</f>
        <v>11</v>
      </c>
      <c r="C77" s="157" t="s">
        <v>1508</v>
      </c>
      <c r="D77" s="153">
        <v>1951</v>
      </c>
      <c r="E77" s="153"/>
      <c r="F77" s="154" t="s">
        <v>273</v>
      </c>
      <c r="G77" s="153">
        <v>2</v>
      </c>
      <c r="H77" s="153">
        <v>2</v>
      </c>
      <c r="I77" s="110">
        <v>695</v>
      </c>
      <c r="J77" s="110">
        <v>626.9</v>
      </c>
      <c r="K77" s="110">
        <v>626.9</v>
      </c>
      <c r="L77" s="155">
        <v>33</v>
      </c>
      <c r="M77" s="153" t="s">
        <v>275</v>
      </c>
      <c r="N77" s="156" t="s">
        <v>1038</v>
      </c>
      <c r="O77" s="110">
        <v>82406.94</v>
      </c>
      <c r="P77" s="110">
        <f t="shared" si="19"/>
        <v>118.57113669064749</v>
      </c>
      <c r="Q77" s="110">
        <v>6567.3702158273381</v>
      </c>
    </row>
    <row r="78" spans="1:17" ht="35.25" x14ac:dyDescent="0.5">
      <c r="A78" s="6">
        <v>1</v>
      </c>
      <c r="B78" s="96">
        <f>SUBTOTAL(103,$A$65:A78)</f>
        <v>12</v>
      </c>
      <c r="C78" s="157" t="s">
        <v>1509</v>
      </c>
      <c r="D78" s="153">
        <v>1953</v>
      </c>
      <c r="E78" s="153">
        <v>2006</v>
      </c>
      <c r="F78" s="154" t="s">
        <v>273</v>
      </c>
      <c r="G78" s="153">
        <v>2</v>
      </c>
      <c r="H78" s="153">
        <v>1</v>
      </c>
      <c r="I78" s="110">
        <v>537.54</v>
      </c>
      <c r="J78" s="110">
        <v>501.3</v>
      </c>
      <c r="K78" s="110">
        <v>310.2</v>
      </c>
      <c r="L78" s="155">
        <v>37</v>
      </c>
      <c r="M78" s="153" t="s">
        <v>275</v>
      </c>
      <c r="N78" s="156" t="s">
        <v>1601</v>
      </c>
      <c r="O78" s="110">
        <v>48720</v>
      </c>
      <c r="P78" s="110">
        <f t="shared" si="19"/>
        <v>90.635115526286427</v>
      </c>
      <c r="Q78" s="110">
        <v>5589.525653904826</v>
      </c>
    </row>
    <row r="79" spans="1:17" ht="35.25" x14ac:dyDescent="0.5">
      <c r="A79" s="6">
        <v>1</v>
      </c>
      <c r="B79" s="96">
        <f>SUBTOTAL(103,$A$65:A79)</f>
        <v>13</v>
      </c>
      <c r="C79" s="157" t="s">
        <v>1510</v>
      </c>
      <c r="D79" s="153">
        <v>1958</v>
      </c>
      <c r="E79" s="153">
        <v>2007</v>
      </c>
      <c r="F79" s="154" t="s">
        <v>273</v>
      </c>
      <c r="G79" s="153">
        <v>2</v>
      </c>
      <c r="H79" s="153">
        <v>2</v>
      </c>
      <c r="I79" s="110">
        <v>854.8</v>
      </c>
      <c r="J79" s="110">
        <v>789.8</v>
      </c>
      <c r="K79" s="110">
        <v>434.07</v>
      </c>
      <c r="L79" s="155">
        <v>42</v>
      </c>
      <c r="M79" s="153" t="s">
        <v>275</v>
      </c>
      <c r="N79" s="156" t="s">
        <v>1603</v>
      </c>
      <c r="O79" s="110">
        <v>27496.35</v>
      </c>
      <c r="P79" s="110">
        <f t="shared" si="19"/>
        <v>32.166998128217124</v>
      </c>
      <c r="Q79" s="110">
        <v>4498.0259241927943</v>
      </c>
    </row>
    <row r="80" spans="1:17" ht="35.25" x14ac:dyDescent="0.5">
      <c r="A80" s="6">
        <v>1</v>
      </c>
      <c r="B80" s="96">
        <f>SUBTOTAL(103,$A$65:A80)</f>
        <v>14</v>
      </c>
      <c r="C80" s="157" t="s">
        <v>1511</v>
      </c>
      <c r="D80" s="153">
        <v>1940</v>
      </c>
      <c r="E80" s="153"/>
      <c r="F80" s="154" t="s">
        <v>273</v>
      </c>
      <c r="G80" s="153">
        <v>3</v>
      </c>
      <c r="H80" s="153">
        <v>2</v>
      </c>
      <c r="I80" s="110">
        <v>1189.4000000000001</v>
      </c>
      <c r="J80" s="110">
        <v>1119.5999999999999</v>
      </c>
      <c r="K80" s="110">
        <v>1021.2</v>
      </c>
      <c r="L80" s="155">
        <v>46</v>
      </c>
      <c r="M80" s="153" t="s">
        <v>275</v>
      </c>
      <c r="N80" s="156" t="s">
        <v>358</v>
      </c>
      <c r="O80" s="110">
        <v>381944.5</v>
      </c>
      <c r="P80" s="110">
        <f t="shared" si="19"/>
        <v>321.12367580292585</v>
      </c>
      <c r="Q80" s="110">
        <v>3278.3938960820583</v>
      </c>
    </row>
    <row r="81" spans="1:17" ht="35.25" x14ac:dyDescent="0.5">
      <c r="A81" s="6">
        <v>1</v>
      </c>
      <c r="B81" s="96">
        <f>SUBTOTAL(103,$A$65:A81)</f>
        <v>15</v>
      </c>
      <c r="C81" s="157" t="s">
        <v>1512</v>
      </c>
      <c r="D81" s="153">
        <v>1961</v>
      </c>
      <c r="E81" s="153"/>
      <c r="F81" s="154" t="s">
        <v>273</v>
      </c>
      <c r="G81" s="153">
        <v>4</v>
      </c>
      <c r="H81" s="153">
        <v>3</v>
      </c>
      <c r="I81" s="110">
        <v>2136.1</v>
      </c>
      <c r="J81" s="110">
        <v>1990.2</v>
      </c>
      <c r="K81" s="110">
        <v>1946.2</v>
      </c>
      <c r="L81" s="155">
        <v>89</v>
      </c>
      <c r="M81" s="153" t="s">
        <v>275</v>
      </c>
      <c r="N81" s="156" t="s">
        <v>1038</v>
      </c>
      <c r="O81" s="110">
        <v>16240</v>
      </c>
      <c r="P81" s="110">
        <f t="shared" si="19"/>
        <v>7.6026403258274424</v>
      </c>
      <c r="Q81" s="110">
        <v>1957.9184881793922</v>
      </c>
    </row>
    <row r="82" spans="1:17" ht="35.25" x14ac:dyDescent="0.5">
      <c r="A82" s="6">
        <v>1</v>
      </c>
      <c r="B82" s="96">
        <f>SUBTOTAL(103,$A$65:A82)</f>
        <v>16</v>
      </c>
      <c r="C82" s="157" t="s">
        <v>1514</v>
      </c>
      <c r="D82" s="153">
        <v>1935</v>
      </c>
      <c r="E82" s="153"/>
      <c r="F82" s="154" t="s">
        <v>273</v>
      </c>
      <c r="G82" s="153">
        <v>2</v>
      </c>
      <c r="H82" s="153">
        <v>2</v>
      </c>
      <c r="I82" s="110">
        <v>474.9</v>
      </c>
      <c r="J82" s="110">
        <v>427.5</v>
      </c>
      <c r="K82" s="110">
        <v>427.5</v>
      </c>
      <c r="L82" s="155">
        <v>15</v>
      </c>
      <c r="M82" s="153" t="s">
        <v>275</v>
      </c>
      <c r="N82" s="156" t="s">
        <v>358</v>
      </c>
      <c r="O82" s="110">
        <v>304500</v>
      </c>
      <c r="P82" s="110">
        <f t="shared" si="19"/>
        <v>641.18761844598862</v>
      </c>
      <c r="Q82" s="110">
        <v>12914.041667719521</v>
      </c>
    </row>
    <row r="83" spans="1:17" ht="35.25" x14ac:dyDescent="0.5">
      <c r="A83" s="6">
        <v>1</v>
      </c>
      <c r="B83" s="96">
        <f>SUBTOTAL(103,$A$65:A83)</f>
        <v>17</v>
      </c>
      <c r="C83" s="157" t="s">
        <v>1189</v>
      </c>
      <c r="D83" s="153">
        <v>1991</v>
      </c>
      <c r="E83" s="153">
        <v>2010</v>
      </c>
      <c r="F83" s="154" t="s">
        <v>1396</v>
      </c>
      <c r="G83" s="153">
        <v>13</v>
      </c>
      <c r="H83" s="153">
        <v>1</v>
      </c>
      <c r="I83" s="110">
        <v>4135.3</v>
      </c>
      <c r="J83" s="110">
        <v>3928.9</v>
      </c>
      <c r="K83" s="110">
        <v>3680.79</v>
      </c>
      <c r="L83" s="155">
        <v>225</v>
      </c>
      <c r="M83" s="156" t="s">
        <v>275</v>
      </c>
      <c r="N83" s="158" t="s">
        <v>357</v>
      </c>
      <c r="O83" s="110">
        <v>148190</v>
      </c>
      <c r="P83" s="110">
        <f t="shared" si="19"/>
        <v>35.835368655236621</v>
      </c>
      <c r="Q83" s="110">
        <v>590.61394336565661</v>
      </c>
    </row>
    <row r="84" spans="1:17" ht="35.25" x14ac:dyDescent="0.5">
      <c r="A84" s="6">
        <v>1</v>
      </c>
      <c r="B84" s="96">
        <f>SUBTOTAL(103,$A$65:A84)</f>
        <v>18</v>
      </c>
      <c r="C84" s="157" t="s">
        <v>1513</v>
      </c>
      <c r="D84" s="153">
        <v>1941</v>
      </c>
      <c r="E84" s="153"/>
      <c r="F84" s="154" t="s">
        <v>1396</v>
      </c>
      <c r="G84" s="153">
        <v>2</v>
      </c>
      <c r="H84" s="153">
        <v>2</v>
      </c>
      <c r="I84" s="110">
        <v>730.5</v>
      </c>
      <c r="J84" s="110">
        <v>672.5</v>
      </c>
      <c r="K84" s="110">
        <v>672.5</v>
      </c>
      <c r="L84" s="155">
        <v>34</v>
      </c>
      <c r="M84" s="156" t="s">
        <v>272</v>
      </c>
      <c r="N84" s="158" t="s">
        <v>274</v>
      </c>
      <c r="O84" s="110">
        <v>10902.52</v>
      </c>
      <c r="P84" s="110">
        <f t="shared" si="19"/>
        <v>14.924736481861739</v>
      </c>
      <c r="Q84" s="110">
        <v>4816.5061190965098</v>
      </c>
    </row>
    <row r="85" spans="1:17" ht="35.25" x14ac:dyDescent="0.5">
      <c r="A85" s="6">
        <v>1</v>
      </c>
      <c r="B85" s="96">
        <f>SUBTOTAL(103,$A$65:A85)</f>
        <v>19</v>
      </c>
      <c r="C85" s="157" t="s">
        <v>1515</v>
      </c>
      <c r="D85" s="153">
        <v>1959</v>
      </c>
      <c r="E85" s="153"/>
      <c r="F85" s="154" t="s">
        <v>273</v>
      </c>
      <c r="G85" s="153">
        <v>4</v>
      </c>
      <c r="H85" s="153">
        <v>3</v>
      </c>
      <c r="I85" s="110">
        <v>3123</v>
      </c>
      <c r="J85" s="110">
        <v>2505.0300000000002</v>
      </c>
      <c r="K85" s="110">
        <v>2369.63</v>
      </c>
      <c r="L85" s="155">
        <v>89</v>
      </c>
      <c r="M85" s="158" t="s">
        <v>275</v>
      </c>
      <c r="N85" s="158" t="s">
        <v>1392</v>
      </c>
      <c r="O85" s="110">
        <v>17378.54</v>
      </c>
      <c r="P85" s="110">
        <f t="shared" si="19"/>
        <v>5.5646942042907463</v>
      </c>
      <c r="Q85" s="110">
        <v>2237.768735190522</v>
      </c>
    </row>
    <row r="86" spans="1:17" ht="35.25" x14ac:dyDescent="0.5">
      <c r="A86" s="6">
        <v>1</v>
      </c>
      <c r="B86" s="96">
        <f>SUBTOTAL(103,$A$65:A86)</f>
        <v>20</v>
      </c>
      <c r="C86" s="157" t="s">
        <v>1587</v>
      </c>
      <c r="D86" s="153">
        <v>1953</v>
      </c>
      <c r="E86" s="153">
        <v>2008</v>
      </c>
      <c r="F86" s="154" t="s">
        <v>273</v>
      </c>
      <c r="G86" s="153">
        <v>2</v>
      </c>
      <c r="H86" s="153">
        <v>1</v>
      </c>
      <c r="I86" s="110">
        <v>520.79999999999995</v>
      </c>
      <c r="J86" s="110">
        <v>480.7</v>
      </c>
      <c r="K86" s="110">
        <v>406.6</v>
      </c>
      <c r="L86" s="155">
        <v>27</v>
      </c>
      <c r="M86" s="158" t="s">
        <v>275</v>
      </c>
      <c r="N86" s="158" t="s">
        <v>357</v>
      </c>
      <c r="O86" s="110">
        <v>130104.73</v>
      </c>
      <c r="P86" s="110">
        <f t="shared" si="19"/>
        <v>249.81706989247314</v>
      </c>
      <c r="Q86" s="110">
        <v>20482.818986175116</v>
      </c>
    </row>
    <row r="87" spans="1:17" ht="35.25" x14ac:dyDescent="0.5">
      <c r="A87" s="6">
        <v>1</v>
      </c>
      <c r="B87" s="96">
        <f>SUBTOTAL(103,$A$65:A87)</f>
        <v>21</v>
      </c>
      <c r="C87" s="157" t="s">
        <v>1588</v>
      </c>
      <c r="D87" s="153">
        <v>1936</v>
      </c>
      <c r="E87" s="153">
        <v>2008</v>
      </c>
      <c r="F87" s="154" t="s">
        <v>273</v>
      </c>
      <c r="G87" s="153">
        <v>3</v>
      </c>
      <c r="H87" s="153">
        <v>4</v>
      </c>
      <c r="I87" s="110">
        <v>1637.8</v>
      </c>
      <c r="J87" s="110">
        <v>1246.5999999999999</v>
      </c>
      <c r="K87" s="110">
        <v>1142.8</v>
      </c>
      <c r="L87" s="155">
        <v>53</v>
      </c>
      <c r="M87" s="158" t="s">
        <v>275</v>
      </c>
      <c r="N87" s="158" t="s">
        <v>358</v>
      </c>
      <c r="O87" s="110">
        <v>159880.76999999999</v>
      </c>
      <c r="P87" s="110">
        <f t="shared" si="19"/>
        <v>97.619227011845155</v>
      </c>
      <c r="Q87" s="110">
        <v>2298.2566612529004</v>
      </c>
    </row>
    <row r="88" spans="1:17" ht="35.25" x14ac:dyDescent="0.5">
      <c r="A88" s="6">
        <v>1</v>
      </c>
      <c r="B88" s="96">
        <f>SUBTOTAL(103,$A$65:A88)</f>
        <v>22</v>
      </c>
      <c r="C88" s="157" t="s">
        <v>1589</v>
      </c>
      <c r="D88" s="153">
        <v>1950</v>
      </c>
      <c r="E88" s="153"/>
      <c r="F88" s="154" t="s">
        <v>273</v>
      </c>
      <c r="G88" s="153">
        <v>2</v>
      </c>
      <c r="H88" s="153">
        <v>1</v>
      </c>
      <c r="I88" s="110">
        <v>459.9</v>
      </c>
      <c r="J88" s="110">
        <v>417.6</v>
      </c>
      <c r="K88" s="110">
        <v>417.6</v>
      </c>
      <c r="L88" s="155">
        <v>24</v>
      </c>
      <c r="M88" s="158" t="s">
        <v>275</v>
      </c>
      <c r="N88" s="158" t="s">
        <v>1038</v>
      </c>
      <c r="O88" s="110">
        <v>9498.3700000000008</v>
      </c>
      <c r="P88" s="110">
        <f t="shared" si="19"/>
        <v>20.653120243531205</v>
      </c>
      <c r="Q88" s="110">
        <v>7229.8390954555343</v>
      </c>
    </row>
    <row r="89" spans="1:17" ht="35.25" x14ac:dyDescent="0.5">
      <c r="A89" s="6">
        <v>1</v>
      </c>
      <c r="B89" s="96">
        <f>SUBTOTAL(103,$A$65:A89)</f>
        <v>23</v>
      </c>
      <c r="C89" s="157" t="s">
        <v>1590</v>
      </c>
      <c r="D89" s="153">
        <v>1961</v>
      </c>
      <c r="E89" s="153"/>
      <c r="F89" s="154" t="s">
        <v>273</v>
      </c>
      <c r="G89" s="153">
        <v>4</v>
      </c>
      <c r="H89" s="153">
        <v>2</v>
      </c>
      <c r="I89" s="110">
        <v>2794.3</v>
      </c>
      <c r="J89" s="110">
        <v>1973.11</v>
      </c>
      <c r="K89" s="110">
        <v>1887.11</v>
      </c>
      <c r="L89" s="155">
        <v>86</v>
      </c>
      <c r="M89" s="158" t="s">
        <v>275</v>
      </c>
      <c r="N89" s="158" t="s">
        <v>1664</v>
      </c>
      <c r="O89" s="110">
        <v>61000.49</v>
      </c>
      <c r="P89" s="110">
        <f t="shared" si="19"/>
        <v>21.830329599541923</v>
      </c>
      <c r="Q89" s="110">
        <v>1745.9421751422537</v>
      </c>
    </row>
    <row r="90" spans="1:17" ht="35.25" x14ac:dyDescent="0.5">
      <c r="A90" s="6">
        <v>1</v>
      </c>
      <c r="B90" s="96">
        <f>SUBTOTAL(103,$A$65:A90)</f>
        <v>24</v>
      </c>
      <c r="C90" s="157" t="s">
        <v>1701</v>
      </c>
      <c r="D90" s="153">
        <v>1952</v>
      </c>
      <c r="E90" s="153"/>
      <c r="F90" s="154" t="s">
        <v>344</v>
      </c>
      <c r="G90" s="153">
        <v>2</v>
      </c>
      <c r="H90" s="153">
        <v>3</v>
      </c>
      <c r="I90" s="110">
        <v>1380</v>
      </c>
      <c r="J90" s="110">
        <v>1114.5</v>
      </c>
      <c r="K90" s="110">
        <v>895.5</v>
      </c>
      <c r="L90" s="155">
        <v>35</v>
      </c>
      <c r="M90" s="158" t="s">
        <v>275</v>
      </c>
      <c r="N90" s="158" t="s">
        <v>1700</v>
      </c>
      <c r="O90" s="110">
        <v>63963.35</v>
      </c>
      <c r="P90" s="110">
        <f t="shared" si="19"/>
        <v>46.350253623188408</v>
      </c>
      <c r="Q90" s="110">
        <v>4007.16</v>
      </c>
    </row>
    <row r="91" spans="1:17" ht="35.25" x14ac:dyDescent="0.5">
      <c r="B91" s="152" t="s">
        <v>866</v>
      </c>
      <c r="C91" s="157"/>
      <c r="D91" s="153" t="s">
        <v>794</v>
      </c>
      <c r="E91" s="153" t="s">
        <v>794</v>
      </c>
      <c r="F91" s="154" t="s">
        <v>794</v>
      </c>
      <c r="G91" s="153" t="s">
        <v>794</v>
      </c>
      <c r="H91" s="153" t="s">
        <v>794</v>
      </c>
      <c r="I91" s="110">
        <f>SUM(I92:I97)</f>
        <v>13339.4</v>
      </c>
      <c r="J91" s="110">
        <f>SUM(J92:J97)</f>
        <v>7930.2999999999993</v>
      </c>
      <c r="K91" s="110">
        <f>SUM(K92:K97)</f>
        <v>6561.3</v>
      </c>
      <c r="L91" s="155">
        <f>SUM(L92:L97)</f>
        <v>416</v>
      </c>
      <c r="M91" s="153" t="s">
        <v>934</v>
      </c>
      <c r="N91" s="153" t="s">
        <v>934</v>
      </c>
      <c r="O91" s="110">
        <v>7687133.0599999996</v>
      </c>
      <c r="P91" s="110">
        <f t="shared" si="19"/>
        <v>576.27277538719886</v>
      </c>
      <c r="Q91" s="110">
        <f>MAX(Q92:Q97)</f>
        <v>5706.4816787065702</v>
      </c>
    </row>
    <row r="92" spans="1:17" ht="35.25" x14ac:dyDescent="0.5">
      <c r="A92" s="6">
        <v>1</v>
      </c>
      <c r="B92" s="96">
        <f>SUBTOTAL(103,$A$65:A92)</f>
        <v>25</v>
      </c>
      <c r="C92" s="157" t="s">
        <v>1516</v>
      </c>
      <c r="D92" s="153">
        <v>1992</v>
      </c>
      <c r="E92" s="153"/>
      <c r="F92" s="154" t="s">
        <v>273</v>
      </c>
      <c r="G92" s="153">
        <v>3</v>
      </c>
      <c r="H92" s="153">
        <v>3</v>
      </c>
      <c r="I92" s="110">
        <v>3997</v>
      </c>
      <c r="J92" s="110">
        <v>1901.1</v>
      </c>
      <c r="K92" s="110">
        <v>1791.5</v>
      </c>
      <c r="L92" s="155">
        <v>73</v>
      </c>
      <c r="M92" s="153" t="s">
        <v>275</v>
      </c>
      <c r="N92" s="156" t="s">
        <v>1604</v>
      </c>
      <c r="O92" s="110">
        <v>5491611.8300000001</v>
      </c>
      <c r="P92" s="110">
        <f t="shared" si="19"/>
        <v>1373.9334075556667</v>
      </c>
      <c r="Q92" s="110">
        <v>1736.3492819614712</v>
      </c>
    </row>
    <row r="93" spans="1:17" ht="35.25" x14ac:dyDescent="0.5">
      <c r="A93" s="6">
        <v>1</v>
      </c>
      <c r="B93" s="96">
        <f>SUBTOTAL(103,$A$65:A93)</f>
        <v>26</v>
      </c>
      <c r="C93" s="157" t="s">
        <v>1517</v>
      </c>
      <c r="D93" s="153">
        <v>1983</v>
      </c>
      <c r="E93" s="153"/>
      <c r="F93" s="154" t="s">
        <v>319</v>
      </c>
      <c r="G93" s="153">
        <v>5</v>
      </c>
      <c r="H93" s="153">
        <v>4</v>
      </c>
      <c r="I93" s="110">
        <v>4357</v>
      </c>
      <c r="J93" s="110">
        <v>1821.4</v>
      </c>
      <c r="K93" s="110">
        <v>1678.3</v>
      </c>
      <c r="L93" s="155">
        <v>159</v>
      </c>
      <c r="M93" s="153" t="s">
        <v>275</v>
      </c>
      <c r="N93" s="156" t="s">
        <v>1604</v>
      </c>
      <c r="O93" s="110">
        <v>1854405</v>
      </c>
      <c r="P93" s="110">
        <f t="shared" si="19"/>
        <v>425.61510213449623</v>
      </c>
      <c r="Q93" s="110">
        <v>1127.366593986688</v>
      </c>
    </row>
    <row r="94" spans="1:17" ht="35.25" x14ac:dyDescent="0.5">
      <c r="A94" s="6">
        <v>1</v>
      </c>
      <c r="B94" s="96">
        <f>SUBTOTAL(103,$A$65:A94)</f>
        <v>27</v>
      </c>
      <c r="C94" s="157" t="s">
        <v>1518</v>
      </c>
      <c r="D94" s="153">
        <v>1940</v>
      </c>
      <c r="E94" s="153"/>
      <c r="F94" s="154" t="s">
        <v>273</v>
      </c>
      <c r="G94" s="153">
        <v>3</v>
      </c>
      <c r="H94" s="153">
        <v>3</v>
      </c>
      <c r="I94" s="110">
        <v>2021</v>
      </c>
      <c r="J94" s="110">
        <v>1886.9</v>
      </c>
      <c r="K94" s="110">
        <v>1320.5</v>
      </c>
      <c r="L94" s="155">
        <v>47</v>
      </c>
      <c r="M94" s="153" t="s">
        <v>275</v>
      </c>
      <c r="N94" s="156" t="s">
        <v>1605</v>
      </c>
      <c r="O94" s="110">
        <v>68239.680000000008</v>
      </c>
      <c r="P94" s="110">
        <f t="shared" si="19"/>
        <v>33.765304304799606</v>
      </c>
      <c r="Q94" s="110">
        <v>3710.9133387431962</v>
      </c>
    </row>
    <row r="95" spans="1:17" ht="35.25" x14ac:dyDescent="0.5">
      <c r="A95" s="6">
        <v>1</v>
      </c>
      <c r="B95" s="96">
        <f>SUBTOTAL(103,$A$65:A95)</f>
        <v>28</v>
      </c>
      <c r="C95" s="157" t="s">
        <v>1519</v>
      </c>
      <c r="D95" s="153">
        <v>1994</v>
      </c>
      <c r="E95" s="153"/>
      <c r="F95" s="154" t="s">
        <v>273</v>
      </c>
      <c r="G95" s="153">
        <v>3</v>
      </c>
      <c r="H95" s="153">
        <v>3</v>
      </c>
      <c r="I95" s="110">
        <v>1540.3</v>
      </c>
      <c r="J95" s="110">
        <v>1362.4</v>
      </c>
      <c r="K95" s="110">
        <v>1247.3</v>
      </c>
      <c r="L95" s="155">
        <v>65</v>
      </c>
      <c r="M95" s="153" t="s">
        <v>272</v>
      </c>
      <c r="N95" s="156" t="s">
        <v>274</v>
      </c>
      <c r="O95" s="110">
        <v>166460</v>
      </c>
      <c r="P95" s="110">
        <f t="shared" si="19"/>
        <v>108.06985652145686</v>
      </c>
      <c r="Q95" s="110">
        <v>3289.0316691553599</v>
      </c>
    </row>
    <row r="96" spans="1:17" ht="35.25" x14ac:dyDescent="0.5">
      <c r="A96" s="6">
        <v>1</v>
      </c>
      <c r="B96" s="96">
        <f>SUBTOTAL(103,$A$65:A96)</f>
        <v>29</v>
      </c>
      <c r="C96" s="157" t="s">
        <v>1520</v>
      </c>
      <c r="D96" s="153">
        <v>1955</v>
      </c>
      <c r="E96" s="153"/>
      <c r="F96" s="154" t="s">
        <v>273</v>
      </c>
      <c r="G96" s="153">
        <v>2</v>
      </c>
      <c r="H96" s="153">
        <v>2</v>
      </c>
      <c r="I96" s="110">
        <v>872.1</v>
      </c>
      <c r="J96" s="110">
        <v>557</v>
      </c>
      <c r="K96" s="110">
        <v>255.4</v>
      </c>
      <c r="L96" s="155">
        <v>40</v>
      </c>
      <c r="M96" s="153" t="s">
        <v>275</v>
      </c>
      <c r="N96" s="156" t="s">
        <v>1605</v>
      </c>
      <c r="O96" s="110">
        <v>103579.83</v>
      </c>
      <c r="P96" s="110">
        <f t="shared" si="19"/>
        <v>118.77058823529411</v>
      </c>
      <c r="Q96" s="110">
        <v>5706.4816787065702</v>
      </c>
    </row>
    <row r="97" spans="1:17" ht="35.25" x14ac:dyDescent="0.5">
      <c r="A97" s="6">
        <v>1</v>
      </c>
      <c r="B97" s="96">
        <f>SUBTOTAL(103,$A$65:A97)</f>
        <v>30</v>
      </c>
      <c r="C97" s="157" t="s">
        <v>1521</v>
      </c>
      <c r="D97" s="153">
        <v>1928</v>
      </c>
      <c r="E97" s="153"/>
      <c r="F97" s="154" t="s">
        <v>273</v>
      </c>
      <c r="G97" s="153">
        <v>2</v>
      </c>
      <c r="H97" s="153">
        <v>2</v>
      </c>
      <c r="I97" s="110">
        <v>552</v>
      </c>
      <c r="J97" s="110">
        <v>401.5</v>
      </c>
      <c r="K97" s="110">
        <v>268.3</v>
      </c>
      <c r="L97" s="155">
        <v>32</v>
      </c>
      <c r="M97" s="153" t="s">
        <v>272</v>
      </c>
      <c r="N97" s="156" t="s">
        <v>274</v>
      </c>
      <c r="O97" s="110">
        <v>2836.7200000000003</v>
      </c>
      <c r="P97" s="110">
        <f t="shared" si="19"/>
        <v>5.1389855072463773</v>
      </c>
      <c r="Q97" s="110">
        <v>5169.3063768115944</v>
      </c>
    </row>
    <row r="98" spans="1:17" ht="35.25" x14ac:dyDescent="0.5">
      <c r="B98" s="152" t="s">
        <v>865</v>
      </c>
      <c r="C98" s="157"/>
      <c r="D98" s="153" t="s">
        <v>794</v>
      </c>
      <c r="E98" s="153" t="s">
        <v>794</v>
      </c>
      <c r="F98" s="154" t="s">
        <v>794</v>
      </c>
      <c r="G98" s="153" t="s">
        <v>794</v>
      </c>
      <c r="H98" s="153" t="s">
        <v>794</v>
      </c>
      <c r="I98" s="110">
        <f>SUM(I99:I102)</f>
        <v>3874.7000000000003</v>
      </c>
      <c r="J98" s="110">
        <f>SUM(J99:J102)</f>
        <v>2543</v>
      </c>
      <c r="K98" s="110">
        <f>SUM(K99:K102)</f>
        <v>1614</v>
      </c>
      <c r="L98" s="155">
        <f>SUM(L99:L102)</f>
        <v>141</v>
      </c>
      <c r="M98" s="153" t="s">
        <v>934</v>
      </c>
      <c r="N98" s="153" t="s">
        <v>934</v>
      </c>
      <c r="O98" s="110">
        <v>202477.66</v>
      </c>
      <c r="P98" s="110">
        <f t="shared" si="19"/>
        <v>52.256345007355407</v>
      </c>
      <c r="Q98" s="110">
        <f>MAX(Q99:Q102)</f>
        <v>4351.6888793103444</v>
      </c>
    </row>
    <row r="99" spans="1:17" ht="35.25" x14ac:dyDescent="0.5">
      <c r="A99" s="6">
        <v>1</v>
      </c>
      <c r="B99" s="96">
        <f>SUBTOTAL(103,$A$65:A99)</f>
        <v>31</v>
      </c>
      <c r="C99" s="157" t="s">
        <v>1522</v>
      </c>
      <c r="D99" s="153">
        <v>1965</v>
      </c>
      <c r="E99" s="153"/>
      <c r="F99" s="154" t="s">
        <v>273</v>
      </c>
      <c r="G99" s="153">
        <v>2</v>
      </c>
      <c r="H99" s="153">
        <v>2</v>
      </c>
      <c r="I99" s="110">
        <v>772.6</v>
      </c>
      <c r="J99" s="110">
        <v>450.9</v>
      </c>
      <c r="K99" s="110">
        <v>299.5</v>
      </c>
      <c r="L99" s="155">
        <v>27</v>
      </c>
      <c r="M99" s="153" t="s">
        <v>272</v>
      </c>
      <c r="N99" s="153" t="s">
        <v>274</v>
      </c>
      <c r="O99" s="110">
        <v>58593.41</v>
      </c>
      <c r="P99" s="110">
        <f t="shared" si="19"/>
        <v>75.83925705410303</v>
      </c>
      <c r="Q99" s="110">
        <v>3223.828009319182</v>
      </c>
    </row>
    <row r="100" spans="1:17" ht="35.25" x14ac:dyDescent="0.5">
      <c r="A100" s="6">
        <v>1</v>
      </c>
      <c r="B100" s="96">
        <f>SUBTOTAL(103,$A$65:A100)</f>
        <v>32</v>
      </c>
      <c r="C100" s="157" t="s">
        <v>1523</v>
      </c>
      <c r="D100" s="153">
        <v>1942</v>
      </c>
      <c r="E100" s="153"/>
      <c r="F100" s="154" t="s">
        <v>338</v>
      </c>
      <c r="G100" s="153">
        <v>2</v>
      </c>
      <c r="H100" s="153">
        <v>2</v>
      </c>
      <c r="I100" s="110">
        <v>842.2</v>
      </c>
      <c r="J100" s="110">
        <v>492.3</v>
      </c>
      <c r="K100" s="110">
        <v>352</v>
      </c>
      <c r="L100" s="155">
        <v>33</v>
      </c>
      <c r="M100" s="153" t="s">
        <v>272</v>
      </c>
      <c r="N100" s="153" t="s">
        <v>274</v>
      </c>
      <c r="O100" s="110">
        <v>15225</v>
      </c>
      <c r="P100" s="110">
        <f t="shared" si="19"/>
        <v>18.077653763951556</v>
      </c>
      <c r="Q100" s="110">
        <v>3646.5135122298743</v>
      </c>
    </row>
    <row r="101" spans="1:17" ht="35.25" x14ac:dyDescent="0.5">
      <c r="A101" s="6">
        <v>1</v>
      </c>
      <c r="B101" s="96">
        <f>SUBTOTAL(103,$A$65:A101)</f>
        <v>33</v>
      </c>
      <c r="C101" s="157" t="s">
        <v>1524</v>
      </c>
      <c r="D101" s="153">
        <v>1933</v>
      </c>
      <c r="E101" s="153"/>
      <c r="F101" s="154" t="s">
        <v>273</v>
      </c>
      <c r="G101" s="153">
        <v>3</v>
      </c>
      <c r="H101" s="153">
        <v>3</v>
      </c>
      <c r="I101" s="110">
        <v>1795.9</v>
      </c>
      <c r="J101" s="110">
        <v>1183</v>
      </c>
      <c r="K101" s="110">
        <v>857.7</v>
      </c>
      <c r="L101" s="155">
        <v>48</v>
      </c>
      <c r="M101" s="153" t="s">
        <v>272</v>
      </c>
      <c r="N101" s="153" t="s">
        <v>274</v>
      </c>
      <c r="O101" s="110">
        <v>77739.22</v>
      </c>
      <c r="P101" s="110">
        <f t="shared" si="19"/>
        <v>43.287053844868865</v>
      </c>
      <c r="Q101" s="110">
        <v>2457.3672253466225</v>
      </c>
    </row>
    <row r="102" spans="1:17" ht="35.25" x14ac:dyDescent="0.5">
      <c r="A102" s="6">
        <v>1</v>
      </c>
      <c r="B102" s="96">
        <f>SUBTOTAL(103,$A$65:A102)</f>
        <v>34</v>
      </c>
      <c r="C102" s="157" t="s">
        <v>1525</v>
      </c>
      <c r="D102" s="153">
        <v>1934</v>
      </c>
      <c r="E102" s="153"/>
      <c r="F102" s="154" t="s">
        <v>338</v>
      </c>
      <c r="G102" s="153">
        <v>2</v>
      </c>
      <c r="H102" s="153">
        <v>2</v>
      </c>
      <c r="I102" s="110">
        <v>464</v>
      </c>
      <c r="J102" s="110">
        <v>416.8</v>
      </c>
      <c r="K102" s="110">
        <v>104.80000000000001</v>
      </c>
      <c r="L102" s="155">
        <v>33</v>
      </c>
      <c r="M102" s="153" t="s">
        <v>272</v>
      </c>
      <c r="N102" s="153" t="s">
        <v>274</v>
      </c>
      <c r="O102" s="110">
        <v>50920.03</v>
      </c>
      <c r="P102" s="110">
        <f t="shared" si="19"/>
        <v>109.74144396551723</v>
      </c>
      <c r="Q102" s="110">
        <v>4351.6888793103444</v>
      </c>
    </row>
    <row r="103" spans="1:17" ht="35.25" x14ac:dyDescent="0.5">
      <c r="B103" s="152" t="s">
        <v>803</v>
      </c>
      <c r="C103" s="157"/>
      <c r="D103" s="153" t="s">
        <v>794</v>
      </c>
      <c r="E103" s="153" t="s">
        <v>794</v>
      </c>
      <c r="F103" s="154" t="s">
        <v>794</v>
      </c>
      <c r="G103" s="153" t="s">
        <v>794</v>
      </c>
      <c r="H103" s="153" t="s">
        <v>794</v>
      </c>
      <c r="I103" s="110">
        <f>SUM(I104:I129)</f>
        <v>57759.219999999994</v>
      </c>
      <c r="J103" s="110">
        <f t="shared" ref="J103:L103" si="21">SUM(J104:J129)</f>
        <v>48422.30000000001</v>
      </c>
      <c r="K103" s="110">
        <f t="shared" si="21"/>
        <v>42509.460000000006</v>
      </c>
      <c r="L103" s="155">
        <f t="shared" si="21"/>
        <v>1952</v>
      </c>
      <c r="M103" s="153" t="s">
        <v>934</v>
      </c>
      <c r="N103" s="153" t="s">
        <v>934</v>
      </c>
      <c r="O103" s="110">
        <v>10481252.82</v>
      </c>
      <c r="P103" s="110">
        <f t="shared" si="19"/>
        <v>181.4645838361391</v>
      </c>
      <c r="Q103" s="110">
        <f>MAX(Q104:Q129)</f>
        <v>6357.5658002913096</v>
      </c>
    </row>
    <row r="104" spans="1:17" ht="35.25" x14ac:dyDescent="0.5">
      <c r="A104" s="6">
        <v>1</v>
      </c>
      <c r="B104" s="96">
        <f>SUBTOTAL(103,$A$65:A104)</f>
        <v>35</v>
      </c>
      <c r="C104" s="157" t="s">
        <v>1526</v>
      </c>
      <c r="D104" s="153">
        <v>1962</v>
      </c>
      <c r="E104" s="153"/>
      <c r="F104" s="154" t="s">
        <v>273</v>
      </c>
      <c r="G104" s="153">
        <v>5</v>
      </c>
      <c r="H104" s="153">
        <v>2</v>
      </c>
      <c r="I104" s="110">
        <v>1612.2</v>
      </c>
      <c r="J104" s="110">
        <v>1358.8</v>
      </c>
      <c r="K104" s="110">
        <v>1358.8</v>
      </c>
      <c r="L104" s="155">
        <v>53</v>
      </c>
      <c r="M104" s="153" t="s">
        <v>275</v>
      </c>
      <c r="N104" s="153" t="s">
        <v>1606</v>
      </c>
      <c r="O104" s="110">
        <v>15597.11</v>
      </c>
      <c r="P104" s="110">
        <f t="shared" si="19"/>
        <v>9.6744262498449327</v>
      </c>
      <c r="Q104" s="110">
        <v>673.78</v>
      </c>
    </row>
    <row r="105" spans="1:17" ht="35.25" x14ac:dyDescent="0.5">
      <c r="A105" s="6">
        <v>1</v>
      </c>
      <c r="B105" s="96">
        <f>SUBTOTAL(103,$A$65:A105)</f>
        <v>36</v>
      </c>
      <c r="C105" s="157" t="s">
        <v>1527</v>
      </c>
      <c r="D105" s="153">
        <v>1958</v>
      </c>
      <c r="E105" s="153"/>
      <c r="F105" s="154" t="s">
        <v>273</v>
      </c>
      <c r="G105" s="153">
        <v>4</v>
      </c>
      <c r="H105" s="153">
        <v>4</v>
      </c>
      <c r="I105" s="110">
        <v>5485.5</v>
      </c>
      <c r="J105" s="110">
        <v>4412.8</v>
      </c>
      <c r="K105" s="110">
        <v>3382.7</v>
      </c>
      <c r="L105" s="155">
        <v>96</v>
      </c>
      <c r="M105" s="153" t="s">
        <v>275</v>
      </c>
      <c r="N105" s="156" t="s">
        <v>1433</v>
      </c>
      <c r="O105" s="110">
        <v>2167706.4899999998</v>
      </c>
      <c r="P105" s="110">
        <f t="shared" si="19"/>
        <v>395.17026524473607</v>
      </c>
      <c r="Q105" s="110">
        <v>1763.3280466684896</v>
      </c>
    </row>
    <row r="106" spans="1:17" ht="35.25" x14ac:dyDescent="0.5">
      <c r="A106" s="6">
        <v>1</v>
      </c>
      <c r="B106" s="96">
        <f>SUBTOTAL(103,$A$65:A106)</f>
        <v>37</v>
      </c>
      <c r="C106" s="157" t="s">
        <v>1528</v>
      </c>
      <c r="D106" s="153">
        <v>1929</v>
      </c>
      <c r="E106" s="153"/>
      <c r="F106" s="154" t="s">
        <v>273</v>
      </c>
      <c r="G106" s="153">
        <v>4</v>
      </c>
      <c r="H106" s="153">
        <v>5</v>
      </c>
      <c r="I106" s="110">
        <v>2469.13</v>
      </c>
      <c r="J106" s="110">
        <v>2349.9299999999998</v>
      </c>
      <c r="K106" s="110">
        <v>2349.9299999999998</v>
      </c>
      <c r="L106" s="155">
        <v>95</v>
      </c>
      <c r="M106" s="153" t="s">
        <v>275</v>
      </c>
      <c r="N106" s="156" t="s">
        <v>1607</v>
      </c>
      <c r="O106" s="110">
        <v>510545</v>
      </c>
      <c r="P106" s="110">
        <f t="shared" si="19"/>
        <v>206.77121091234562</v>
      </c>
      <c r="Q106" s="110">
        <v>2019.6502593221094</v>
      </c>
    </row>
    <row r="107" spans="1:17" ht="35.25" x14ac:dyDescent="0.5">
      <c r="A107" s="6">
        <v>1</v>
      </c>
      <c r="B107" s="96">
        <f>SUBTOTAL(103,$A$65:A107)</f>
        <v>38</v>
      </c>
      <c r="C107" s="157" t="s">
        <v>1529</v>
      </c>
      <c r="D107" s="153">
        <v>1961</v>
      </c>
      <c r="E107" s="153"/>
      <c r="F107" s="154" t="s">
        <v>273</v>
      </c>
      <c r="G107" s="153">
        <v>4</v>
      </c>
      <c r="H107" s="153">
        <v>2</v>
      </c>
      <c r="I107" s="110">
        <v>1371.7</v>
      </c>
      <c r="J107" s="110">
        <v>1268.5999999999999</v>
      </c>
      <c r="K107" s="110">
        <v>1268.5999999999999</v>
      </c>
      <c r="L107" s="155">
        <v>55</v>
      </c>
      <c r="M107" s="153" t="s">
        <v>275</v>
      </c>
      <c r="N107" s="156" t="s">
        <v>1608</v>
      </c>
      <c r="O107" s="110">
        <v>468233.13</v>
      </c>
      <c r="P107" s="110">
        <f t="shared" si="19"/>
        <v>341.35243128964061</v>
      </c>
      <c r="Q107" s="110">
        <v>2104.9148472698112</v>
      </c>
    </row>
    <row r="108" spans="1:17" ht="35.25" x14ac:dyDescent="0.5">
      <c r="A108" s="6">
        <v>1</v>
      </c>
      <c r="B108" s="96">
        <f>SUBTOTAL(103,$A$65:A108)</f>
        <v>39</v>
      </c>
      <c r="C108" s="157" t="s">
        <v>1530</v>
      </c>
      <c r="D108" s="153">
        <v>1959</v>
      </c>
      <c r="E108" s="153"/>
      <c r="F108" s="154" t="s">
        <v>273</v>
      </c>
      <c r="G108" s="153">
        <v>4</v>
      </c>
      <c r="H108" s="153">
        <v>3</v>
      </c>
      <c r="I108" s="110">
        <v>2155.1999999999998</v>
      </c>
      <c r="J108" s="110">
        <v>1435.2</v>
      </c>
      <c r="K108" s="110">
        <v>1184.7</v>
      </c>
      <c r="L108" s="155">
        <v>62</v>
      </c>
      <c r="M108" s="153" t="s">
        <v>275</v>
      </c>
      <c r="N108" s="156" t="s">
        <v>1609</v>
      </c>
      <c r="O108" s="110">
        <v>450205.28</v>
      </c>
      <c r="P108" s="110">
        <f t="shared" si="19"/>
        <v>208.89257609502602</v>
      </c>
      <c r="Q108" s="110">
        <v>3096.7835189309581</v>
      </c>
    </row>
    <row r="109" spans="1:17" ht="35.25" x14ac:dyDescent="0.5">
      <c r="A109" s="6">
        <v>1</v>
      </c>
      <c r="B109" s="96">
        <f>SUBTOTAL(103,$A$65:A109)</f>
        <v>40</v>
      </c>
      <c r="C109" s="157" t="s">
        <v>1531</v>
      </c>
      <c r="D109" s="153">
        <v>1951</v>
      </c>
      <c r="E109" s="153"/>
      <c r="F109" s="154" t="s">
        <v>344</v>
      </c>
      <c r="G109" s="153">
        <v>2</v>
      </c>
      <c r="H109" s="153">
        <v>2</v>
      </c>
      <c r="I109" s="110">
        <v>747</v>
      </c>
      <c r="J109" s="110">
        <v>596.29999999999995</v>
      </c>
      <c r="K109" s="110">
        <v>584.29999999999995</v>
      </c>
      <c r="L109" s="155">
        <v>22</v>
      </c>
      <c r="M109" s="153" t="s">
        <v>272</v>
      </c>
      <c r="N109" s="156" t="s">
        <v>274</v>
      </c>
      <c r="O109" s="110">
        <v>66602.679999999993</v>
      </c>
      <c r="P109" s="110">
        <f t="shared" si="19"/>
        <v>89.160214190093697</v>
      </c>
      <c r="Q109" s="110">
        <v>6272.0635876840697</v>
      </c>
    </row>
    <row r="110" spans="1:17" ht="35.25" x14ac:dyDescent="0.5">
      <c r="A110" s="6">
        <v>1</v>
      </c>
      <c r="B110" s="96">
        <f>SUBTOTAL(103,$A$65:A110)</f>
        <v>41</v>
      </c>
      <c r="C110" s="157" t="s">
        <v>1532</v>
      </c>
      <c r="D110" s="153">
        <v>1959</v>
      </c>
      <c r="E110" s="153"/>
      <c r="F110" s="154" t="s">
        <v>273</v>
      </c>
      <c r="G110" s="153">
        <v>4</v>
      </c>
      <c r="H110" s="153">
        <v>3</v>
      </c>
      <c r="I110" s="110">
        <v>3647.3</v>
      </c>
      <c r="J110" s="110">
        <v>2675.1</v>
      </c>
      <c r="K110" s="110">
        <v>2194.3000000000002</v>
      </c>
      <c r="L110" s="155">
        <v>61</v>
      </c>
      <c r="M110" s="153" t="s">
        <v>275</v>
      </c>
      <c r="N110" s="156" t="s">
        <v>1610</v>
      </c>
      <c r="O110" s="110">
        <v>1233225</v>
      </c>
      <c r="P110" s="110">
        <f t="shared" si="19"/>
        <v>338.11997916266824</v>
      </c>
      <c r="Q110" s="110">
        <v>1839.843336166479</v>
      </c>
    </row>
    <row r="111" spans="1:17" ht="35.25" x14ac:dyDescent="0.5">
      <c r="A111" s="6">
        <v>1</v>
      </c>
      <c r="B111" s="96">
        <f>SUBTOTAL(103,$A$65:A111)</f>
        <v>42</v>
      </c>
      <c r="C111" s="157" t="s">
        <v>1533</v>
      </c>
      <c r="D111" s="153">
        <v>1973</v>
      </c>
      <c r="E111" s="153"/>
      <c r="F111" s="154" t="s">
        <v>273</v>
      </c>
      <c r="G111" s="153">
        <v>5</v>
      </c>
      <c r="H111" s="153">
        <v>6</v>
      </c>
      <c r="I111" s="110">
        <v>4358.8999999999996</v>
      </c>
      <c r="J111" s="110">
        <v>3381.5</v>
      </c>
      <c r="K111" s="110">
        <v>2777</v>
      </c>
      <c r="L111" s="155">
        <v>177</v>
      </c>
      <c r="M111" s="153" t="s">
        <v>275</v>
      </c>
      <c r="N111" s="156" t="s">
        <v>1470</v>
      </c>
      <c r="O111" s="110">
        <v>1389919.69</v>
      </c>
      <c r="P111" s="110">
        <f t="shared" si="19"/>
        <v>318.86936841863775</v>
      </c>
      <c r="Q111" s="110">
        <v>2199.9377485145337</v>
      </c>
    </row>
    <row r="112" spans="1:17" ht="35.25" x14ac:dyDescent="0.5">
      <c r="A112" s="6">
        <v>1</v>
      </c>
      <c r="B112" s="96">
        <f>SUBTOTAL(103,$A$65:A112)</f>
        <v>43</v>
      </c>
      <c r="C112" s="157" t="s">
        <v>1534</v>
      </c>
      <c r="D112" s="153">
        <v>1949</v>
      </c>
      <c r="E112" s="153"/>
      <c r="F112" s="154" t="s">
        <v>344</v>
      </c>
      <c r="G112" s="153">
        <v>2</v>
      </c>
      <c r="H112" s="153">
        <v>2</v>
      </c>
      <c r="I112" s="110">
        <v>728.8</v>
      </c>
      <c r="J112" s="110">
        <v>722.1</v>
      </c>
      <c r="K112" s="110">
        <v>667.2</v>
      </c>
      <c r="L112" s="155">
        <v>25</v>
      </c>
      <c r="M112" s="153" t="s">
        <v>272</v>
      </c>
      <c r="N112" s="156" t="s">
        <v>274</v>
      </c>
      <c r="O112" s="110">
        <v>67681.820000000007</v>
      </c>
      <c r="P112" s="110">
        <f t="shared" si="19"/>
        <v>92.867480790340295</v>
      </c>
      <c r="Q112" s="110">
        <v>5897.8074368825464</v>
      </c>
    </row>
    <row r="113" spans="1:17" ht="35.25" x14ac:dyDescent="0.5">
      <c r="A113" s="6">
        <v>1</v>
      </c>
      <c r="B113" s="96">
        <f>SUBTOTAL(103,$A$65:A113)</f>
        <v>44</v>
      </c>
      <c r="C113" s="157" t="s">
        <v>1535</v>
      </c>
      <c r="D113" s="153">
        <v>1956</v>
      </c>
      <c r="E113" s="153"/>
      <c r="F113" s="154" t="s">
        <v>273</v>
      </c>
      <c r="G113" s="153">
        <v>4</v>
      </c>
      <c r="H113" s="153">
        <v>3</v>
      </c>
      <c r="I113" s="110">
        <v>4032.8</v>
      </c>
      <c r="J113" s="110">
        <v>3036.64</v>
      </c>
      <c r="K113" s="110">
        <v>2440.14</v>
      </c>
      <c r="L113" s="155">
        <v>93</v>
      </c>
      <c r="M113" s="153" t="s">
        <v>275</v>
      </c>
      <c r="N113" s="156" t="s">
        <v>1610</v>
      </c>
      <c r="O113" s="110">
        <v>253750</v>
      </c>
      <c r="P113" s="110">
        <f t="shared" si="19"/>
        <v>62.921543344574488</v>
      </c>
      <c r="Q113" s="110">
        <v>673.78</v>
      </c>
    </row>
    <row r="114" spans="1:17" ht="35.25" x14ac:dyDescent="0.5">
      <c r="A114" s="6">
        <v>1</v>
      </c>
      <c r="B114" s="96">
        <f>SUBTOTAL(103,$A$65:A114)</f>
        <v>45</v>
      </c>
      <c r="C114" s="157" t="s">
        <v>1536</v>
      </c>
      <c r="D114" s="153">
        <v>1953</v>
      </c>
      <c r="E114" s="153"/>
      <c r="F114" s="154" t="s">
        <v>273</v>
      </c>
      <c r="G114" s="153">
        <v>2</v>
      </c>
      <c r="H114" s="153">
        <v>1</v>
      </c>
      <c r="I114" s="110">
        <v>617.9</v>
      </c>
      <c r="J114" s="110">
        <v>408.9</v>
      </c>
      <c r="K114" s="110">
        <f>J114</f>
        <v>408.9</v>
      </c>
      <c r="L114" s="155">
        <v>21</v>
      </c>
      <c r="M114" s="153" t="s">
        <v>272</v>
      </c>
      <c r="N114" s="156" t="s">
        <v>274</v>
      </c>
      <c r="O114" s="110">
        <v>45611.35</v>
      </c>
      <c r="P114" s="110">
        <f t="shared" si="19"/>
        <v>73.816717915520314</v>
      </c>
      <c r="Q114" s="110">
        <v>6357.5658002913096</v>
      </c>
    </row>
    <row r="115" spans="1:17" ht="35.25" x14ac:dyDescent="0.5">
      <c r="A115" s="6">
        <v>1</v>
      </c>
      <c r="B115" s="96">
        <f>SUBTOTAL(103,$A$65:A115)</f>
        <v>46</v>
      </c>
      <c r="C115" s="157" t="s">
        <v>1537</v>
      </c>
      <c r="D115" s="153">
        <v>1937</v>
      </c>
      <c r="E115" s="153"/>
      <c r="F115" s="154" t="s">
        <v>273</v>
      </c>
      <c r="G115" s="153">
        <v>4</v>
      </c>
      <c r="H115" s="153">
        <v>6</v>
      </c>
      <c r="I115" s="110">
        <v>2381.6999999999998</v>
      </c>
      <c r="J115" s="110">
        <v>2256.8000000000002</v>
      </c>
      <c r="K115" s="110">
        <v>2256.8000000000002</v>
      </c>
      <c r="L115" s="155">
        <v>155</v>
      </c>
      <c r="M115" s="153" t="s">
        <v>275</v>
      </c>
      <c r="N115" s="156" t="s">
        <v>1705</v>
      </c>
      <c r="O115" s="110">
        <v>1182149.27</v>
      </c>
      <c r="P115" s="110">
        <f t="shared" si="19"/>
        <v>496.34684049208551</v>
      </c>
      <c r="Q115" s="110">
        <v>3210.9446613763284</v>
      </c>
    </row>
    <row r="116" spans="1:17" ht="35.25" x14ac:dyDescent="0.5">
      <c r="A116" s="6">
        <v>1</v>
      </c>
      <c r="B116" s="96">
        <f>SUBTOTAL(103,$A$65:A116)</f>
        <v>47</v>
      </c>
      <c r="C116" s="157" t="s">
        <v>1538</v>
      </c>
      <c r="D116" s="153">
        <v>1955</v>
      </c>
      <c r="E116" s="153"/>
      <c r="F116" s="154" t="s">
        <v>273</v>
      </c>
      <c r="G116" s="153">
        <v>3</v>
      </c>
      <c r="H116" s="153">
        <v>3</v>
      </c>
      <c r="I116" s="110">
        <v>1854.6</v>
      </c>
      <c r="J116" s="110">
        <v>1281.7</v>
      </c>
      <c r="K116" s="110">
        <v>834.3</v>
      </c>
      <c r="L116" s="155">
        <v>34</v>
      </c>
      <c r="M116" s="153" t="s">
        <v>275</v>
      </c>
      <c r="N116" s="156" t="s">
        <v>1706</v>
      </c>
      <c r="O116" s="110">
        <v>212532.16</v>
      </c>
      <c r="P116" s="110">
        <f t="shared" si="19"/>
        <v>114.59730400086272</v>
      </c>
      <c r="Q116" s="110">
        <v>3282.98</v>
      </c>
    </row>
    <row r="117" spans="1:17" ht="35.25" x14ac:dyDescent="0.5">
      <c r="A117" s="6">
        <v>1</v>
      </c>
      <c r="B117" s="96">
        <f>SUBTOTAL(103,$A$65:A117)</f>
        <v>48</v>
      </c>
      <c r="C117" s="157" t="s">
        <v>1539</v>
      </c>
      <c r="D117" s="153">
        <v>1929</v>
      </c>
      <c r="E117" s="153"/>
      <c r="F117" s="154" t="s">
        <v>273</v>
      </c>
      <c r="G117" s="153">
        <v>3</v>
      </c>
      <c r="H117" s="153">
        <v>5</v>
      </c>
      <c r="I117" s="110">
        <v>2240.83</v>
      </c>
      <c r="J117" s="110">
        <v>1864.33</v>
      </c>
      <c r="K117" s="110">
        <v>1864.33</v>
      </c>
      <c r="L117" s="155">
        <v>90</v>
      </c>
      <c r="M117" s="153" t="s">
        <v>275</v>
      </c>
      <c r="N117" s="156" t="s">
        <v>1433</v>
      </c>
      <c r="O117" s="110">
        <v>69345.69</v>
      </c>
      <c r="P117" s="110">
        <f t="shared" si="19"/>
        <v>30.946430563675069</v>
      </c>
      <c r="Q117" s="110">
        <v>888.07393532753497</v>
      </c>
    </row>
    <row r="118" spans="1:17" ht="35.25" x14ac:dyDescent="0.5">
      <c r="A118" s="6">
        <v>1</v>
      </c>
      <c r="B118" s="96">
        <f>SUBTOTAL(103,$A$65:A118)</f>
        <v>49</v>
      </c>
      <c r="C118" s="157" t="s">
        <v>1540</v>
      </c>
      <c r="D118" s="153">
        <v>1981</v>
      </c>
      <c r="E118" s="153"/>
      <c r="F118" s="154" t="s">
        <v>273</v>
      </c>
      <c r="G118" s="153">
        <v>5</v>
      </c>
      <c r="H118" s="153">
        <v>1</v>
      </c>
      <c r="I118" s="110">
        <v>2902.7</v>
      </c>
      <c r="J118" s="110">
        <v>2700</v>
      </c>
      <c r="K118" s="110">
        <v>1260</v>
      </c>
      <c r="L118" s="155">
        <v>179</v>
      </c>
      <c r="M118" s="153" t="s">
        <v>275</v>
      </c>
      <c r="N118" s="156" t="s">
        <v>1611</v>
      </c>
      <c r="O118" s="110">
        <v>6902</v>
      </c>
      <c r="P118" s="110">
        <f t="shared" si="19"/>
        <v>2.3777861990560516</v>
      </c>
      <c r="Q118" s="110">
        <v>1214.2154476866367</v>
      </c>
    </row>
    <row r="119" spans="1:17" ht="35.25" x14ac:dyDescent="0.5">
      <c r="A119" s="6">
        <v>1</v>
      </c>
      <c r="B119" s="96">
        <f>SUBTOTAL(103,$A$65:A119)</f>
        <v>50</v>
      </c>
      <c r="C119" s="157" t="s">
        <v>1541</v>
      </c>
      <c r="D119" s="153">
        <v>1977</v>
      </c>
      <c r="E119" s="153"/>
      <c r="F119" s="154" t="s">
        <v>319</v>
      </c>
      <c r="G119" s="153">
        <v>5</v>
      </c>
      <c r="H119" s="153">
        <v>6</v>
      </c>
      <c r="I119" s="110">
        <v>4839.2</v>
      </c>
      <c r="J119" s="110">
        <v>4665.24</v>
      </c>
      <c r="K119" s="110">
        <v>4372.8999999999996</v>
      </c>
      <c r="L119" s="155">
        <v>183</v>
      </c>
      <c r="M119" s="153" t="s">
        <v>275</v>
      </c>
      <c r="N119" s="156" t="s">
        <v>1612</v>
      </c>
      <c r="O119" s="110">
        <v>7622.65</v>
      </c>
      <c r="P119" s="110">
        <f t="shared" si="19"/>
        <v>1.5751880476111755</v>
      </c>
      <c r="Q119" s="110">
        <v>94.91</v>
      </c>
    </row>
    <row r="120" spans="1:17" ht="35.25" x14ac:dyDescent="0.5">
      <c r="A120" s="6">
        <v>1</v>
      </c>
      <c r="B120" s="96">
        <f>SUBTOTAL(103,$A$65:A120)</f>
        <v>51</v>
      </c>
      <c r="C120" s="157" t="s">
        <v>1542</v>
      </c>
      <c r="D120" s="153">
        <v>1959</v>
      </c>
      <c r="E120" s="153"/>
      <c r="F120" s="154" t="s">
        <v>273</v>
      </c>
      <c r="G120" s="153">
        <v>2</v>
      </c>
      <c r="H120" s="153">
        <v>1</v>
      </c>
      <c r="I120" s="110">
        <v>367.5</v>
      </c>
      <c r="J120" s="110">
        <v>251</v>
      </c>
      <c r="K120" s="110">
        <v>251</v>
      </c>
      <c r="L120" s="155">
        <v>14</v>
      </c>
      <c r="M120" s="153" t="s">
        <v>275</v>
      </c>
      <c r="N120" s="156" t="s">
        <v>1032</v>
      </c>
      <c r="O120" s="110">
        <v>52780</v>
      </c>
      <c r="P120" s="110">
        <f t="shared" si="19"/>
        <v>143.61904761904762</v>
      </c>
      <c r="Q120" s="110">
        <v>4678.4457795918361</v>
      </c>
    </row>
    <row r="121" spans="1:17" ht="35.25" x14ac:dyDescent="0.5">
      <c r="A121" s="6">
        <v>1</v>
      </c>
      <c r="B121" s="96">
        <f>SUBTOTAL(103,$A$65:A121)</f>
        <v>52</v>
      </c>
      <c r="C121" s="157" t="s">
        <v>1543</v>
      </c>
      <c r="D121" s="153">
        <v>1934</v>
      </c>
      <c r="E121" s="153"/>
      <c r="F121" s="154" t="s">
        <v>273</v>
      </c>
      <c r="G121" s="153">
        <v>3</v>
      </c>
      <c r="H121" s="153">
        <v>7</v>
      </c>
      <c r="I121" s="110">
        <v>2922</v>
      </c>
      <c r="J121" s="110">
        <v>2656.4</v>
      </c>
      <c r="K121" s="110">
        <v>2656.4</v>
      </c>
      <c r="L121" s="155">
        <v>95</v>
      </c>
      <c r="M121" s="153" t="s">
        <v>275</v>
      </c>
      <c r="N121" s="156" t="s">
        <v>1032</v>
      </c>
      <c r="O121" s="110">
        <v>209078.37</v>
      </c>
      <c r="P121" s="110">
        <f t="shared" si="19"/>
        <v>71.553172484599585</v>
      </c>
      <c r="Q121" s="110">
        <v>3184.1077823408623</v>
      </c>
    </row>
    <row r="122" spans="1:17" ht="35.25" x14ac:dyDescent="0.5">
      <c r="A122" s="6">
        <v>1</v>
      </c>
      <c r="B122" s="96">
        <f>SUBTOTAL(103,$A$65:A122)</f>
        <v>53</v>
      </c>
      <c r="C122" s="157" t="s">
        <v>1544</v>
      </c>
      <c r="D122" s="153">
        <v>1934</v>
      </c>
      <c r="E122" s="153"/>
      <c r="F122" s="154" t="s">
        <v>273</v>
      </c>
      <c r="G122" s="153">
        <v>3</v>
      </c>
      <c r="H122" s="153">
        <v>5</v>
      </c>
      <c r="I122" s="110">
        <v>1040.8</v>
      </c>
      <c r="J122" s="110">
        <v>878</v>
      </c>
      <c r="K122" s="110">
        <v>878</v>
      </c>
      <c r="L122" s="155">
        <v>58</v>
      </c>
      <c r="M122" s="153" t="s">
        <v>272</v>
      </c>
      <c r="N122" s="156" t="s">
        <v>274</v>
      </c>
      <c r="O122" s="110">
        <v>793266.22</v>
      </c>
      <c r="P122" s="110">
        <f t="shared" si="19"/>
        <v>762.16969638739431</v>
      </c>
      <c r="Q122" s="110">
        <v>4344.7387394312073</v>
      </c>
    </row>
    <row r="123" spans="1:17" ht="35.25" x14ac:dyDescent="0.5">
      <c r="A123" s="6">
        <v>1</v>
      </c>
      <c r="B123" s="96">
        <f>SUBTOTAL(103,$A$65:A123)</f>
        <v>54</v>
      </c>
      <c r="C123" s="157" t="s">
        <v>1545</v>
      </c>
      <c r="D123" s="153">
        <v>1928</v>
      </c>
      <c r="E123" s="153"/>
      <c r="F123" s="154" t="s">
        <v>338</v>
      </c>
      <c r="G123" s="153">
        <v>2</v>
      </c>
      <c r="H123" s="153">
        <v>1</v>
      </c>
      <c r="I123" s="110">
        <v>286.10000000000002</v>
      </c>
      <c r="J123" s="110">
        <v>205.8</v>
      </c>
      <c r="K123" s="110">
        <v>205.8</v>
      </c>
      <c r="L123" s="155">
        <v>16</v>
      </c>
      <c r="M123" s="153" t="s">
        <v>272</v>
      </c>
      <c r="N123" s="156" t="s">
        <v>274</v>
      </c>
      <c r="O123" s="110">
        <v>45260.939999999995</v>
      </c>
      <c r="P123" s="110">
        <f t="shared" si="19"/>
        <v>158.19972037749037</v>
      </c>
      <c r="Q123" s="110">
        <v>4371.6450891296745</v>
      </c>
    </row>
    <row r="124" spans="1:17" ht="35.25" x14ac:dyDescent="0.5">
      <c r="A124" s="6">
        <v>1</v>
      </c>
      <c r="B124" s="96">
        <f>SUBTOTAL(103,$A$65:A124)</f>
        <v>55</v>
      </c>
      <c r="C124" s="157" t="s">
        <v>1546</v>
      </c>
      <c r="D124" s="153">
        <v>1958</v>
      </c>
      <c r="E124" s="153"/>
      <c r="F124" s="154" t="s">
        <v>273</v>
      </c>
      <c r="G124" s="153">
        <v>2</v>
      </c>
      <c r="H124" s="153">
        <v>1</v>
      </c>
      <c r="I124" s="110">
        <v>417.2</v>
      </c>
      <c r="J124" s="110">
        <v>385.8</v>
      </c>
      <c r="K124" s="110">
        <v>385.8</v>
      </c>
      <c r="L124" s="155">
        <v>20</v>
      </c>
      <c r="M124" s="153" t="s">
        <v>272</v>
      </c>
      <c r="N124" s="156" t="s">
        <v>274</v>
      </c>
      <c r="O124" s="110">
        <v>41021.47</v>
      </c>
      <c r="P124" s="110">
        <f t="shared" si="19"/>
        <v>98.325671140939605</v>
      </c>
      <c r="Q124" s="110">
        <v>4197.3344765100674</v>
      </c>
    </row>
    <row r="125" spans="1:17" ht="35.25" x14ac:dyDescent="0.5">
      <c r="A125" s="6">
        <v>1</v>
      </c>
      <c r="B125" s="96">
        <f>SUBTOTAL(103,$A$65:A125)</f>
        <v>56</v>
      </c>
      <c r="C125" s="157" t="s">
        <v>1547</v>
      </c>
      <c r="D125" s="153">
        <v>1958</v>
      </c>
      <c r="E125" s="153"/>
      <c r="F125" s="154" t="s">
        <v>273</v>
      </c>
      <c r="G125" s="153">
        <v>4</v>
      </c>
      <c r="H125" s="153">
        <v>5</v>
      </c>
      <c r="I125" s="110">
        <v>3533.4</v>
      </c>
      <c r="J125" s="110">
        <v>3254</v>
      </c>
      <c r="K125" s="110">
        <v>3254</v>
      </c>
      <c r="L125" s="155">
        <v>98</v>
      </c>
      <c r="M125" s="153" t="s">
        <v>275</v>
      </c>
      <c r="N125" s="156" t="s">
        <v>1470</v>
      </c>
      <c r="O125" s="110">
        <v>504846.64999999997</v>
      </c>
      <c r="P125" s="110">
        <f t="shared" si="19"/>
        <v>142.87843153902756</v>
      </c>
      <c r="Q125" s="110">
        <v>6118.4410154525385</v>
      </c>
    </row>
    <row r="126" spans="1:17" ht="35.25" x14ac:dyDescent="0.5">
      <c r="A126" s="6">
        <v>1</v>
      </c>
      <c r="B126" s="96">
        <f>SUBTOTAL(103,$A$65:A126)</f>
        <v>57</v>
      </c>
      <c r="C126" s="157" t="s">
        <v>1548</v>
      </c>
      <c r="D126" s="153">
        <v>1931</v>
      </c>
      <c r="E126" s="153"/>
      <c r="F126" s="154" t="s">
        <v>273</v>
      </c>
      <c r="G126" s="153">
        <v>4</v>
      </c>
      <c r="H126" s="153">
        <v>4</v>
      </c>
      <c r="I126" s="110">
        <v>2034.4</v>
      </c>
      <c r="J126" s="110">
        <v>1806.5</v>
      </c>
      <c r="K126" s="110">
        <v>1665.8</v>
      </c>
      <c r="L126" s="155">
        <v>83</v>
      </c>
      <c r="M126" s="153" t="s">
        <v>275</v>
      </c>
      <c r="N126" s="156" t="s">
        <v>1613</v>
      </c>
      <c r="O126" s="110">
        <v>545501.27</v>
      </c>
      <c r="P126" s="110">
        <f t="shared" si="19"/>
        <v>268.13865021627998</v>
      </c>
      <c r="Q126" s="110">
        <v>2753.19</v>
      </c>
    </row>
    <row r="127" spans="1:17" ht="35.25" x14ac:dyDescent="0.5">
      <c r="A127" s="6">
        <v>1</v>
      </c>
      <c r="B127" s="96">
        <f>SUBTOTAL(103,$A$65:A127)</f>
        <v>58</v>
      </c>
      <c r="C127" s="157" t="s">
        <v>1591</v>
      </c>
      <c r="D127" s="153">
        <v>1958</v>
      </c>
      <c r="E127" s="153"/>
      <c r="F127" s="154" t="s">
        <v>273</v>
      </c>
      <c r="G127" s="153">
        <v>4</v>
      </c>
      <c r="H127" s="153">
        <v>4</v>
      </c>
      <c r="I127" s="110">
        <v>3399.9</v>
      </c>
      <c r="J127" s="110">
        <v>2625.8</v>
      </c>
      <c r="K127" s="110">
        <v>2062.6999999999998</v>
      </c>
      <c r="L127" s="155">
        <v>68</v>
      </c>
      <c r="M127" s="153" t="s">
        <v>275</v>
      </c>
      <c r="N127" s="156" t="s">
        <v>1665</v>
      </c>
      <c r="O127" s="110">
        <v>52491.74</v>
      </c>
      <c r="P127" s="110">
        <f t="shared" si="19"/>
        <v>15.439201152975086</v>
      </c>
      <c r="Q127" s="110">
        <v>3543.4097591105619</v>
      </c>
    </row>
    <row r="128" spans="1:17" ht="35.25" x14ac:dyDescent="0.5">
      <c r="A128" s="6">
        <v>1</v>
      </c>
      <c r="B128" s="96">
        <f>SUBTOTAL(103,$A$65:A128)</f>
        <v>59</v>
      </c>
      <c r="C128" s="157" t="s">
        <v>1592</v>
      </c>
      <c r="D128" s="153">
        <v>1942</v>
      </c>
      <c r="E128" s="153"/>
      <c r="F128" s="154" t="s">
        <v>338</v>
      </c>
      <c r="G128" s="153">
        <v>2</v>
      </c>
      <c r="H128" s="153">
        <v>2</v>
      </c>
      <c r="I128" s="110">
        <v>489</v>
      </c>
      <c r="J128" s="110">
        <v>431</v>
      </c>
      <c r="K128" s="110">
        <v>431</v>
      </c>
      <c r="L128" s="155">
        <v>39</v>
      </c>
      <c r="M128" s="153" t="s">
        <v>272</v>
      </c>
      <c r="N128" s="156" t="s">
        <v>274</v>
      </c>
      <c r="O128" s="110">
        <v>81764.34</v>
      </c>
      <c r="P128" s="110">
        <f t="shared" si="19"/>
        <v>167.20723926380367</v>
      </c>
      <c r="Q128" s="110">
        <v>3758.84</v>
      </c>
    </row>
    <row r="129" spans="1:17" ht="35.25" x14ac:dyDescent="0.5">
      <c r="A129" s="6">
        <v>1</v>
      </c>
      <c r="B129" s="96">
        <f>SUBTOTAL(103,$A$65:A129)</f>
        <v>60</v>
      </c>
      <c r="C129" s="157" t="s">
        <v>1593</v>
      </c>
      <c r="D129" s="153">
        <v>1931</v>
      </c>
      <c r="E129" s="153"/>
      <c r="F129" s="154" t="s">
        <v>273</v>
      </c>
      <c r="G129" s="153">
        <v>3</v>
      </c>
      <c r="H129" s="153">
        <v>5</v>
      </c>
      <c r="I129" s="110">
        <v>1823.46</v>
      </c>
      <c r="J129" s="110">
        <v>1514.06</v>
      </c>
      <c r="K129" s="110">
        <v>1514.06</v>
      </c>
      <c r="L129" s="155">
        <v>60</v>
      </c>
      <c r="M129" s="153" t="s">
        <v>275</v>
      </c>
      <c r="N129" s="156" t="s">
        <v>1470</v>
      </c>
      <c r="O129" s="110">
        <v>7612.5</v>
      </c>
      <c r="P129" s="110">
        <f t="shared" ref="P129:P192" si="22">O129/I129</f>
        <v>4.174755684248626</v>
      </c>
      <c r="Q129" s="110">
        <v>3016.9943952705294</v>
      </c>
    </row>
    <row r="130" spans="1:17" ht="35.25" x14ac:dyDescent="0.5">
      <c r="B130" s="152" t="s">
        <v>1493</v>
      </c>
      <c r="C130" s="157"/>
      <c r="D130" s="153" t="s">
        <v>794</v>
      </c>
      <c r="E130" s="153" t="s">
        <v>794</v>
      </c>
      <c r="F130" s="154" t="s">
        <v>794</v>
      </c>
      <c r="G130" s="153" t="s">
        <v>794</v>
      </c>
      <c r="H130" s="153" t="s">
        <v>794</v>
      </c>
      <c r="I130" s="110">
        <f>SUM(I131:I143)</f>
        <v>42587.08</v>
      </c>
      <c r="J130" s="110">
        <f t="shared" ref="J130:L130" si="23">SUM(J131:J143)</f>
        <v>39880.97</v>
      </c>
      <c r="K130" s="110">
        <f t="shared" si="23"/>
        <v>36523.299999999996</v>
      </c>
      <c r="L130" s="155">
        <f t="shared" si="23"/>
        <v>2005</v>
      </c>
      <c r="M130" s="153" t="s">
        <v>934</v>
      </c>
      <c r="N130" s="153" t="s">
        <v>934</v>
      </c>
      <c r="O130" s="110">
        <v>6084746.6499999994</v>
      </c>
      <c r="P130" s="110">
        <f t="shared" si="22"/>
        <v>142.87776128346906</v>
      </c>
      <c r="Q130" s="110">
        <f>MAX(Q131:Q143)</f>
        <v>5321.8705368523024</v>
      </c>
    </row>
    <row r="131" spans="1:17" ht="35.25" x14ac:dyDescent="0.5">
      <c r="A131" s="6">
        <v>1</v>
      </c>
      <c r="B131" s="96">
        <f>SUBTOTAL(103,$A$65:A131)</f>
        <v>61</v>
      </c>
      <c r="C131" s="157" t="s">
        <v>1549</v>
      </c>
      <c r="D131" s="153">
        <v>1968</v>
      </c>
      <c r="E131" s="153"/>
      <c r="F131" s="154" t="s">
        <v>273</v>
      </c>
      <c r="G131" s="153">
        <v>6</v>
      </c>
      <c r="H131" s="153">
        <v>8</v>
      </c>
      <c r="I131" s="110">
        <v>6064</v>
      </c>
      <c r="J131" s="110">
        <v>5971</v>
      </c>
      <c r="K131" s="110">
        <v>5128.3999999999996</v>
      </c>
      <c r="L131" s="155">
        <v>268</v>
      </c>
      <c r="M131" s="153" t="s">
        <v>349</v>
      </c>
      <c r="N131" s="156" t="s">
        <v>1614</v>
      </c>
      <c r="O131" s="110">
        <v>1877040.31</v>
      </c>
      <c r="P131" s="110">
        <f t="shared" si="22"/>
        <v>309.53830969656991</v>
      </c>
      <c r="Q131" s="110">
        <v>2032.7659861477571</v>
      </c>
    </row>
    <row r="132" spans="1:17" ht="35.25" x14ac:dyDescent="0.5">
      <c r="A132" s="6">
        <v>1</v>
      </c>
      <c r="B132" s="96">
        <f>SUBTOTAL(103,$A$65:A132)</f>
        <v>62</v>
      </c>
      <c r="C132" s="157" t="s">
        <v>1550</v>
      </c>
      <c r="D132" s="153">
        <v>1983</v>
      </c>
      <c r="E132" s="153"/>
      <c r="F132" s="154" t="s">
        <v>273</v>
      </c>
      <c r="G132" s="153">
        <v>5</v>
      </c>
      <c r="H132" s="153">
        <v>6</v>
      </c>
      <c r="I132" s="110">
        <v>4247.2</v>
      </c>
      <c r="J132" s="110">
        <v>3821.7</v>
      </c>
      <c r="K132" s="110">
        <v>3620.8</v>
      </c>
      <c r="L132" s="155">
        <v>176</v>
      </c>
      <c r="M132" s="153" t="s">
        <v>275</v>
      </c>
      <c r="N132" s="156" t="s">
        <v>1615</v>
      </c>
      <c r="O132" s="110">
        <v>293340.08</v>
      </c>
      <c r="P132" s="110">
        <f t="shared" si="22"/>
        <v>69.066698059898286</v>
      </c>
      <c r="Q132" s="110">
        <v>1615.5578027877189</v>
      </c>
    </row>
    <row r="133" spans="1:17" ht="35.25" x14ac:dyDescent="0.5">
      <c r="A133" s="6">
        <v>1</v>
      </c>
      <c r="B133" s="96">
        <f>SUBTOTAL(103,$A$65:A133)</f>
        <v>63</v>
      </c>
      <c r="C133" s="157" t="s">
        <v>1551</v>
      </c>
      <c r="D133" s="153">
        <v>1973</v>
      </c>
      <c r="E133" s="153"/>
      <c r="F133" s="154" t="s">
        <v>273</v>
      </c>
      <c r="G133" s="153">
        <v>5</v>
      </c>
      <c r="H133" s="153">
        <v>8</v>
      </c>
      <c r="I133" s="110">
        <v>6143</v>
      </c>
      <c r="J133" s="110">
        <v>6075.43</v>
      </c>
      <c r="K133" s="110">
        <v>5422.03</v>
      </c>
      <c r="L133" s="155">
        <v>275</v>
      </c>
      <c r="M133" s="153" t="s">
        <v>275</v>
      </c>
      <c r="N133" s="156" t="s">
        <v>1616</v>
      </c>
      <c r="O133" s="110">
        <v>35169.75</v>
      </c>
      <c r="P133" s="110">
        <f t="shared" si="22"/>
        <v>5.7251749959303275</v>
      </c>
      <c r="Q133" s="110">
        <v>1815.704655705681</v>
      </c>
    </row>
    <row r="134" spans="1:17" ht="35.25" x14ac:dyDescent="0.5">
      <c r="A134" s="6">
        <v>1</v>
      </c>
      <c r="B134" s="96">
        <f>SUBTOTAL(103,$A$65:A134)</f>
        <v>64</v>
      </c>
      <c r="C134" s="157" t="s">
        <v>1552</v>
      </c>
      <c r="D134" s="153">
        <v>1961</v>
      </c>
      <c r="E134" s="153"/>
      <c r="F134" s="154" t="s">
        <v>273</v>
      </c>
      <c r="G134" s="153">
        <v>4</v>
      </c>
      <c r="H134" s="153">
        <v>3</v>
      </c>
      <c r="I134" s="110">
        <v>2176</v>
      </c>
      <c r="J134" s="110">
        <v>2029.3</v>
      </c>
      <c r="K134" s="110">
        <v>1988.8</v>
      </c>
      <c r="L134" s="155">
        <v>89</v>
      </c>
      <c r="M134" s="153" t="s">
        <v>275</v>
      </c>
      <c r="N134" s="156" t="s">
        <v>1418</v>
      </c>
      <c r="O134" s="110">
        <v>104524.7</v>
      </c>
      <c r="P134" s="110">
        <f t="shared" si="22"/>
        <v>48.035248161764706</v>
      </c>
      <c r="Q134" s="110">
        <v>2044.7879411764704</v>
      </c>
    </row>
    <row r="135" spans="1:17" ht="35.25" x14ac:dyDescent="0.5">
      <c r="A135" s="6">
        <v>1</v>
      </c>
      <c r="B135" s="96">
        <f>SUBTOTAL(103,$A$65:A135)</f>
        <v>65</v>
      </c>
      <c r="C135" s="157" t="s">
        <v>1553</v>
      </c>
      <c r="D135" s="153">
        <v>1961</v>
      </c>
      <c r="E135" s="153"/>
      <c r="F135" s="154" t="s">
        <v>273</v>
      </c>
      <c r="G135" s="153">
        <v>2</v>
      </c>
      <c r="H135" s="153">
        <v>2</v>
      </c>
      <c r="I135" s="110">
        <v>588.42999999999995</v>
      </c>
      <c r="J135" s="110">
        <v>546.92999999999995</v>
      </c>
      <c r="K135" s="110">
        <v>516.08000000000004</v>
      </c>
      <c r="L135" s="155">
        <v>30</v>
      </c>
      <c r="M135" s="153" t="s">
        <v>275</v>
      </c>
      <c r="N135" s="156" t="s">
        <v>1033</v>
      </c>
      <c r="O135" s="110">
        <v>123830</v>
      </c>
      <c r="P135" s="110">
        <f t="shared" si="22"/>
        <v>210.44134391516411</v>
      </c>
      <c r="Q135" s="110">
        <v>5321.8705368523024</v>
      </c>
    </row>
    <row r="136" spans="1:17" ht="35.25" x14ac:dyDescent="0.5">
      <c r="A136" s="6">
        <v>1</v>
      </c>
      <c r="B136" s="96">
        <f>SUBTOTAL(103,$A$65:A136)</f>
        <v>66</v>
      </c>
      <c r="C136" s="157" t="s">
        <v>1554</v>
      </c>
      <c r="D136" s="153">
        <v>1963</v>
      </c>
      <c r="E136" s="153"/>
      <c r="F136" s="154" t="s">
        <v>273</v>
      </c>
      <c r="G136" s="153">
        <v>4</v>
      </c>
      <c r="H136" s="153">
        <v>4</v>
      </c>
      <c r="I136" s="110">
        <v>2368</v>
      </c>
      <c r="J136" s="110">
        <v>2347.9899999999998</v>
      </c>
      <c r="K136" s="110">
        <v>2199.56</v>
      </c>
      <c r="L136" s="155">
        <v>87</v>
      </c>
      <c r="M136" s="153" t="s">
        <v>275</v>
      </c>
      <c r="N136" s="156" t="s">
        <v>1617</v>
      </c>
      <c r="O136" s="110">
        <v>1697748.89</v>
      </c>
      <c r="P136" s="110">
        <f t="shared" si="22"/>
        <v>716.95476773648647</v>
      </c>
      <c r="Q136" s="110">
        <v>3160.5909966216218</v>
      </c>
    </row>
    <row r="137" spans="1:17" ht="35.25" x14ac:dyDescent="0.5">
      <c r="A137" s="6">
        <v>1</v>
      </c>
      <c r="B137" s="96">
        <f>SUBTOTAL(103,$A$65:A137)</f>
        <v>67</v>
      </c>
      <c r="C137" s="157" t="s">
        <v>1555</v>
      </c>
      <c r="D137" s="153">
        <v>1971</v>
      </c>
      <c r="E137" s="153"/>
      <c r="F137" s="154" t="s">
        <v>273</v>
      </c>
      <c r="G137" s="153">
        <v>4</v>
      </c>
      <c r="H137" s="153">
        <v>1</v>
      </c>
      <c r="I137" s="110">
        <v>1601</v>
      </c>
      <c r="J137" s="110">
        <v>1473.9</v>
      </c>
      <c r="K137" s="110">
        <v>1166.5999999999999</v>
      </c>
      <c r="L137" s="155">
        <v>103</v>
      </c>
      <c r="M137" s="153" t="s">
        <v>275</v>
      </c>
      <c r="N137" s="156" t="s">
        <v>1033</v>
      </c>
      <c r="O137" s="110">
        <v>184374.75</v>
      </c>
      <c r="P137" s="110">
        <f t="shared" si="22"/>
        <v>115.16224234853216</v>
      </c>
      <c r="Q137" s="110">
        <v>2522.4030480949405</v>
      </c>
    </row>
    <row r="138" spans="1:17" ht="35.25" x14ac:dyDescent="0.5">
      <c r="A138" s="6">
        <v>1</v>
      </c>
      <c r="B138" s="96">
        <f>SUBTOTAL(103,$A$65:A138)</f>
        <v>68</v>
      </c>
      <c r="C138" s="157" t="s">
        <v>1556</v>
      </c>
      <c r="D138" s="153">
        <v>1963</v>
      </c>
      <c r="E138" s="153"/>
      <c r="F138" s="154" t="s">
        <v>273</v>
      </c>
      <c r="G138" s="153">
        <v>2</v>
      </c>
      <c r="H138" s="153">
        <v>2</v>
      </c>
      <c r="I138" s="110">
        <v>1027.9000000000001</v>
      </c>
      <c r="J138" s="110">
        <v>620.86</v>
      </c>
      <c r="K138" s="110">
        <v>620.86</v>
      </c>
      <c r="L138" s="155">
        <v>40</v>
      </c>
      <c r="M138" s="153" t="s">
        <v>275</v>
      </c>
      <c r="N138" s="156" t="s">
        <v>1618</v>
      </c>
      <c r="O138" s="110">
        <v>37984.35</v>
      </c>
      <c r="P138" s="110">
        <f t="shared" si="22"/>
        <v>36.953351493335923</v>
      </c>
      <c r="Q138" s="110">
        <v>3287.6857087265298</v>
      </c>
    </row>
    <row r="139" spans="1:17" ht="35.25" x14ac:dyDescent="0.5">
      <c r="A139" s="6">
        <v>1</v>
      </c>
      <c r="B139" s="96">
        <f>SUBTOTAL(103,$A$65:A139)</f>
        <v>69</v>
      </c>
      <c r="C139" s="157" t="s">
        <v>1557</v>
      </c>
      <c r="D139" s="153">
        <v>2003</v>
      </c>
      <c r="E139" s="153"/>
      <c r="F139" s="154" t="s">
        <v>273</v>
      </c>
      <c r="G139" s="153">
        <v>5</v>
      </c>
      <c r="H139" s="153">
        <v>8</v>
      </c>
      <c r="I139" s="110">
        <v>6514</v>
      </c>
      <c r="J139" s="110">
        <v>5845.8</v>
      </c>
      <c r="K139" s="110">
        <v>5845.8</v>
      </c>
      <c r="L139" s="155">
        <v>360</v>
      </c>
      <c r="M139" s="153" t="s">
        <v>275</v>
      </c>
      <c r="N139" s="156" t="s">
        <v>1619</v>
      </c>
      <c r="O139" s="110">
        <v>1197776.18</v>
      </c>
      <c r="P139" s="110">
        <f t="shared" si="22"/>
        <v>183.87721522873809</v>
      </c>
      <c r="Q139" s="110">
        <v>1437.5832883021187</v>
      </c>
    </row>
    <row r="140" spans="1:17" ht="35.25" x14ac:dyDescent="0.5">
      <c r="A140" s="6">
        <v>1</v>
      </c>
      <c r="B140" s="96">
        <f>SUBTOTAL(103,$A$65:A140)</f>
        <v>70</v>
      </c>
      <c r="C140" s="157" t="s">
        <v>1558</v>
      </c>
      <c r="D140" s="153">
        <v>1960</v>
      </c>
      <c r="E140" s="153"/>
      <c r="F140" s="154" t="s">
        <v>273</v>
      </c>
      <c r="G140" s="153">
        <v>2</v>
      </c>
      <c r="H140" s="153">
        <v>2</v>
      </c>
      <c r="I140" s="110">
        <v>585.54999999999995</v>
      </c>
      <c r="J140" s="110">
        <v>545.35</v>
      </c>
      <c r="K140" s="110">
        <v>433.53000000000003</v>
      </c>
      <c r="L140" s="155">
        <v>34</v>
      </c>
      <c r="M140" s="153" t="s">
        <v>275</v>
      </c>
      <c r="N140" s="156" t="s">
        <v>1618</v>
      </c>
      <c r="O140" s="110">
        <v>69473.710000000006</v>
      </c>
      <c r="P140" s="110">
        <f t="shared" si="22"/>
        <v>118.64693023652978</v>
      </c>
      <c r="Q140" s="110">
        <v>4645.9858252924605</v>
      </c>
    </row>
    <row r="141" spans="1:17" ht="35.25" x14ac:dyDescent="0.5">
      <c r="A141" s="6">
        <v>1</v>
      </c>
      <c r="B141" s="96">
        <f>SUBTOTAL(103,$A$65:A141)</f>
        <v>71</v>
      </c>
      <c r="C141" s="157" t="s">
        <v>1231</v>
      </c>
      <c r="D141" s="153">
        <v>1989</v>
      </c>
      <c r="E141" s="153"/>
      <c r="F141" s="154" t="s">
        <v>273</v>
      </c>
      <c r="G141" s="153">
        <v>9</v>
      </c>
      <c r="H141" s="153">
        <v>1</v>
      </c>
      <c r="I141" s="110">
        <v>3494</v>
      </c>
      <c r="J141" s="110">
        <v>3277.11</v>
      </c>
      <c r="K141" s="110">
        <v>3141.61</v>
      </c>
      <c r="L141" s="155">
        <v>159</v>
      </c>
      <c r="M141" s="153" t="s">
        <v>275</v>
      </c>
      <c r="N141" s="156" t="s">
        <v>1620</v>
      </c>
      <c r="O141" s="110">
        <v>275836.81</v>
      </c>
      <c r="P141" s="110">
        <f t="shared" si="22"/>
        <v>78.945852890669713</v>
      </c>
      <c r="Q141" s="110">
        <v>861.65972524327424</v>
      </c>
    </row>
    <row r="142" spans="1:17" ht="35.25" x14ac:dyDescent="0.5">
      <c r="A142" s="6">
        <v>1</v>
      </c>
      <c r="B142" s="96">
        <f>SUBTOTAL(103,$A$65:A142)</f>
        <v>72</v>
      </c>
      <c r="C142" s="157" t="s">
        <v>1559</v>
      </c>
      <c r="D142" s="153">
        <v>1987</v>
      </c>
      <c r="E142" s="153"/>
      <c r="F142" s="154" t="s">
        <v>319</v>
      </c>
      <c r="G142" s="153">
        <v>5</v>
      </c>
      <c r="H142" s="153">
        <v>6</v>
      </c>
      <c r="I142" s="110">
        <v>4362</v>
      </c>
      <c r="J142" s="110">
        <v>3933.6</v>
      </c>
      <c r="K142" s="110">
        <v>3462.6</v>
      </c>
      <c r="L142" s="155">
        <v>234</v>
      </c>
      <c r="M142" s="156" t="s">
        <v>275</v>
      </c>
      <c r="N142" s="158" t="s">
        <v>329</v>
      </c>
      <c r="O142" s="110">
        <v>101365.01</v>
      </c>
      <c r="P142" s="110">
        <f t="shared" si="22"/>
        <v>23.238195781751489</v>
      </c>
      <c r="Q142" s="110">
        <v>1478.7954653828519</v>
      </c>
    </row>
    <row r="143" spans="1:17" ht="35.25" x14ac:dyDescent="0.5">
      <c r="A143" s="6">
        <v>1</v>
      </c>
      <c r="B143" s="96">
        <f>SUBTOTAL(103,$A$65:A143)</f>
        <v>73</v>
      </c>
      <c r="C143" s="157" t="s">
        <v>1597</v>
      </c>
      <c r="D143" s="153">
        <v>1966</v>
      </c>
      <c r="E143" s="153"/>
      <c r="F143" s="154" t="s">
        <v>273</v>
      </c>
      <c r="G143" s="153">
        <v>5</v>
      </c>
      <c r="H143" s="153">
        <v>4</v>
      </c>
      <c r="I143" s="110">
        <v>3416</v>
      </c>
      <c r="J143" s="110">
        <v>3392</v>
      </c>
      <c r="K143" s="110">
        <v>2976.63</v>
      </c>
      <c r="L143" s="155">
        <v>150</v>
      </c>
      <c r="M143" s="156" t="s">
        <v>275</v>
      </c>
      <c r="N143" s="158" t="s">
        <v>1618</v>
      </c>
      <c r="O143" s="110">
        <v>86282.11</v>
      </c>
      <c r="P143" s="110">
        <f t="shared" si="22"/>
        <v>25.258228922716629</v>
      </c>
      <c r="Q143" s="110">
        <v>703.11</v>
      </c>
    </row>
    <row r="144" spans="1:17" ht="35.25" x14ac:dyDescent="0.5">
      <c r="B144" s="152" t="s">
        <v>1495</v>
      </c>
      <c r="C144" s="157"/>
      <c r="D144" s="153" t="s">
        <v>794</v>
      </c>
      <c r="E144" s="153" t="s">
        <v>794</v>
      </c>
      <c r="F144" s="154" t="s">
        <v>794</v>
      </c>
      <c r="G144" s="153" t="s">
        <v>794</v>
      </c>
      <c r="H144" s="153" t="s">
        <v>794</v>
      </c>
      <c r="I144" s="110">
        <f>SUM(I145:I149)</f>
        <v>39280</v>
      </c>
      <c r="J144" s="110">
        <f>SUM(J145:J149)</f>
        <v>34872.199999999997</v>
      </c>
      <c r="K144" s="110">
        <f>SUM(K145:K149)</f>
        <v>32288.5</v>
      </c>
      <c r="L144" s="155">
        <f>SUM(L145:L149)</f>
        <v>1995</v>
      </c>
      <c r="M144" s="153" t="s">
        <v>934</v>
      </c>
      <c r="N144" s="153" t="s">
        <v>934</v>
      </c>
      <c r="O144" s="110">
        <v>1627513.1600000001</v>
      </c>
      <c r="P144" s="110">
        <f t="shared" si="22"/>
        <v>41.433634419551936</v>
      </c>
      <c r="Q144" s="110">
        <f>MAX(Q145:Q149)</f>
        <v>848.76936373153421</v>
      </c>
    </row>
    <row r="145" spans="1:17" ht="35.25" x14ac:dyDescent="0.5">
      <c r="A145" s="6">
        <v>1</v>
      </c>
      <c r="B145" s="96">
        <f>SUBTOTAL(103,$A$65:A145)</f>
        <v>74</v>
      </c>
      <c r="C145" s="157" t="s">
        <v>1560</v>
      </c>
      <c r="D145" s="153">
        <v>1978</v>
      </c>
      <c r="E145" s="153"/>
      <c r="F145" s="154" t="s">
        <v>319</v>
      </c>
      <c r="G145" s="153">
        <v>9</v>
      </c>
      <c r="H145" s="153">
        <v>4</v>
      </c>
      <c r="I145" s="110">
        <v>8707</v>
      </c>
      <c r="J145" s="110">
        <v>7693.6</v>
      </c>
      <c r="K145" s="110">
        <v>7347.1</v>
      </c>
      <c r="L145" s="155">
        <v>357</v>
      </c>
      <c r="M145" s="153" t="s">
        <v>275</v>
      </c>
      <c r="N145" s="156" t="s">
        <v>327</v>
      </c>
      <c r="O145" s="110">
        <v>388505.87</v>
      </c>
      <c r="P145" s="110">
        <f t="shared" si="22"/>
        <v>44.619946020443322</v>
      </c>
      <c r="Q145" s="110">
        <v>805.48273182496837</v>
      </c>
    </row>
    <row r="146" spans="1:17" ht="35.25" x14ac:dyDescent="0.5">
      <c r="A146" s="6">
        <v>1</v>
      </c>
      <c r="B146" s="96">
        <f>SUBTOTAL(103,$A$65:A146)</f>
        <v>75</v>
      </c>
      <c r="C146" s="157" t="s">
        <v>1561</v>
      </c>
      <c r="D146" s="153">
        <v>1981</v>
      </c>
      <c r="E146" s="153"/>
      <c r="F146" s="154" t="s">
        <v>319</v>
      </c>
      <c r="G146" s="153">
        <v>9</v>
      </c>
      <c r="H146" s="153">
        <v>4</v>
      </c>
      <c r="I146" s="110">
        <v>8838.4</v>
      </c>
      <c r="J146" s="110">
        <v>7825</v>
      </c>
      <c r="K146" s="110">
        <v>7353.9</v>
      </c>
      <c r="L146" s="155">
        <v>387</v>
      </c>
      <c r="M146" s="153" t="s">
        <v>275</v>
      </c>
      <c r="N146" s="156" t="s">
        <v>327</v>
      </c>
      <c r="O146" s="110">
        <v>388505.87</v>
      </c>
      <c r="P146" s="110">
        <f t="shared" si="22"/>
        <v>43.956583770818249</v>
      </c>
      <c r="Q146" s="110">
        <v>815.80604430666187</v>
      </c>
    </row>
    <row r="147" spans="1:17" ht="35.25" x14ac:dyDescent="0.5">
      <c r="A147" s="6">
        <v>1</v>
      </c>
      <c r="B147" s="96">
        <f>SUBTOTAL(103,$A$65:A147)</f>
        <v>76</v>
      </c>
      <c r="C147" s="157" t="s">
        <v>398</v>
      </c>
      <c r="D147" s="153">
        <v>1982</v>
      </c>
      <c r="E147" s="153"/>
      <c r="F147" s="154" t="s">
        <v>319</v>
      </c>
      <c r="G147" s="153">
        <v>9</v>
      </c>
      <c r="H147" s="153">
        <v>4</v>
      </c>
      <c r="I147" s="110">
        <v>8597</v>
      </c>
      <c r="J147" s="110">
        <v>7716.1</v>
      </c>
      <c r="K147" s="110">
        <v>7190.6</v>
      </c>
      <c r="L147" s="155">
        <v>399</v>
      </c>
      <c r="M147" s="153" t="s">
        <v>275</v>
      </c>
      <c r="N147" s="156" t="s">
        <v>327</v>
      </c>
      <c r="O147" s="110">
        <v>321971.32</v>
      </c>
      <c r="P147" s="110">
        <f t="shared" si="22"/>
        <v>37.451590089566132</v>
      </c>
      <c r="Q147" s="110">
        <v>848.76936373153421</v>
      </c>
    </row>
    <row r="148" spans="1:17" ht="35.25" x14ac:dyDescent="0.5">
      <c r="A148" s="6">
        <v>1</v>
      </c>
      <c r="B148" s="96">
        <f>SUBTOTAL(103,$A$65:A148)</f>
        <v>77</v>
      </c>
      <c r="C148" s="157" t="s">
        <v>1562</v>
      </c>
      <c r="D148" s="153">
        <v>1983</v>
      </c>
      <c r="E148" s="153"/>
      <c r="F148" s="154" t="s">
        <v>319</v>
      </c>
      <c r="G148" s="153">
        <v>9</v>
      </c>
      <c r="H148" s="153">
        <v>4</v>
      </c>
      <c r="I148" s="110">
        <v>8601.7999999999993</v>
      </c>
      <c r="J148" s="110">
        <v>7730</v>
      </c>
      <c r="K148" s="110">
        <v>7318.9</v>
      </c>
      <c r="L148" s="155">
        <v>404</v>
      </c>
      <c r="M148" s="153" t="s">
        <v>275</v>
      </c>
      <c r="N148" s="156" t="s">
        <v>327</v>
      </c>
      <c r="O148" s="110">
        <v>321971.32</v>
      </c>
      <c r="P148" s="110">
        <f t="shared" si="22"/>
        <v>37.430691250668467</v>
      </c>
      <c r="Q148" s="110">
        <v>847.59291776139878</v>
      </c>
    </row>
    <row r="149" spans="1:17" ht="35.25" x14ac:dyDescent="0.5">
      <c r="A149" s="6">
        <v>1</v>
      </c>
      <c r="B149" s="96">
        <f>SUBTOTAL(103,$A$65:A149)</f>
        <v>78</v>
      </c>
      <c r="C149" s="157" t="s">
        <v>1563</v>
      </c>
      <c r="D149" s="153">
        <v>1987</v>
      </c>
      <c r="E149" s="153"/>
      <c r="F149" s="154" t="s">
        <v>273</v>
      </c>
      <c r="G149" s="153">
        <v>12</v>
      </c>
      <c r="H149" s="153">
        <v>1</v>
      </c>
      <c r="I149" s="110">
        <v>4535.8</v>
      </c>
      <c r="J149" s="110">
        <v>3907.5</v>
      </c>
      <c r="K149" s="110">
        <v>3078</v>
      </c>
      <c r="L149" s="155">
        <v>448</v>
      </c>
      <c r="M149" s="153" t="s">
        <v>275</v>
      </c>
      <c r="N149" s="156" t="s">
        <v>327</v>
      </c>
      <c r="O149" s="110">
        <v>206558.78</v>
      </c>
      <c r="P149" s="110">
        <f t="shared" si="22"/>
        <v>45.539657833237797</v>
      </c>
      <c r="Q149" s="110">
        <v>688.54108117641863</v>
      </c>
    </row>
    <row r="150" spans="1:17" ht="35.25" x14ac:dyDescent="0.5">
      <c r="B150" s="152" t="s">
        <v>928</v>
      </c>
      <c r="C150" s="157"/>
      <c r="D150" s="153" t="s">
        <v>794</v>
      </c>
      <c r="E150" s="153" t="s">
        <v>794</v>
      </c>
      <c r="F150" s="154" t="s">
        <v>794</v>
      </c>
      <c r="G150" s="153" t="s">
        <v>794</v>
      </c>
      <c r="H150" s="153" t="s">
        <v>794</v>
      </c>
      <c r="I150" s="110">
        <f>I151+I152</f>
        <v>6959.2</v>
      </c>
      <c r="J150" s="110">
        <f>J151+J152</f>
        <v>6276.4</v>
      </c>
      <c r="K150" s="110">
        <f>K151+K152</f>
        <v>6276.4</v>
      </c>
      <c r="L150" s="155">
        <f>L151+L152</f>
        <v>259</v>
      </c>
      <c r="M150" s="153" t="s">
        <v>934</v>
      </c>
      <c r="N150" s="153" t="s">
        <v>934</v>
      </c>
      <c r="O150" s="110">
        <v>3777624.56</v>
      </c>
      <c r="P150" s="110">
        <f t="shared" si="22"/>
        <v>542.8245430509254</v>
      </c>
      <c r="Q150" s="110">
        <f>MAX(Q151:Q152)</f>
        <v>1415.0542319658907</v>
      </c>
    </row>
    <row r="151" spans="1:17" ht="35.25" x14ac:dyDescent="0.5">
      <c r="A151" s="6">
        <v>1</v>
      </c>
      <c r="B151" s="96">
        <f>SUBTOTAL(103,$A$65:A151)</f>
        <v>79</v>
      </c>
      <c r="C151" s="157" t="s">
        <v>1564</v>
      </c>
      <c r="D151" s="153">
        <v>1988</v>
      </c>
      <c r="E151" s="153"/>
      <c r="F151" s="154" t="s">
        <v>319</v>
      </c>
      <c r="G151" s="153">
        <v>5</v>
      </c>
      <c r="H151" s="153">
        <v>4</v>
      </c>
      <c r="I151" s="110">
        <v>3471.2</v>
      </c>
      <c r="J151" s="110">
        <v>3130.3</v>
      </c>
      <c r="K151" s="110">
        <v>3130.3</v>
      </c>
      <c r="L151" s="155">
        <v>113</v>
      </c>
      <c r="M151" s="153" t="s">
        <v>272</v>
      </c>
      <c r="N151" s="156" t="s">
        <v>274</v>
      </c>
      <c r="O151" s="110">
        <v>1888812.28</v>
      </c>
      <c r="P151" s="110">
        <f t="shared" si="22"/>
        <v>544.13813090573865</v>
      </c>
      <c r="Q151" s="110">
        <v>1415.0542319658907</v>
      </c>
    </row>
    <row r="152" spans="1:17" ht="35.25" x14ac:dyDescent="0.5">
      <c r="A152" s="6">
        <v>1</v>
      </c>
      <c r="B152" s="96">
        <f>SUBTOTAL(103,$A$65:A152)</f>
        <v>80</v>
      </c>
      <c r="C152" s="157" t="s">
        <v>1565</v>
      </c>
      <c r="D152" s="153">
        <v>1989</v>
      </c>
      <c r="E152" s="153"/>
      <c r="F152" s="154" t="s">
        <v>273</v>
      </c>
      <c r="G152" s="153">
        <v>5</v>
      </c>
      <c r="H152" s="153">
        <v>4</v>
      </c>
      <c r="I152" s="110">
        <v>3488</v>
      </c>
      <c r="J152" s="110">
        <v>3146.1</v>
      </c>
      <c r="K152" s="110">
        <v>3146.1</v>
      </c>
      <c r="L152" s="155">
        <v>146</v>
      </c>
      <c r="M152" s="153" t="s">
        <v>272</v>
      </c>
      <c r="N152" s="156" t="s">
        <v>274</v>
      </c>
      <c r="O152" s="110">
        <v>1888812.28</v>
      </c>
      <c r="P152" s="110">
        <f t="shared" si="22"/>
        <v>541.51728211009174</v>
      </c>
      <c r="Q152" s="110">
        <v>1408.2386037844037</v>
      </c>
    </row>
    <row r="153" spans="1:17" ht="35.25" x14ac:dyDescent="0.5">
      <c r="B153" s="152" t="s">
        <v>1496</v>
      </c>
      <c r="C153" s="157"/>
      <c r="D153" s="153" t="s">
        <v>794</v>
      </c>
      <c r="E153" s="153" t="s">
        <v>794</v>
      </c>
      <c r="F153" s="154" t="s">
        <v>794</v>
      </c>
      <c r="G153" s="153" t="s">
        <v>794</v>
      </c>
      <c r="H153" s="153" t="s">
        <v>794</v>
      </c>
      <c r="I153" s="110">
        <f>I154</f>
        <v>978.6</v>
      </c>
      <c r="J153" s="110">
        <f t="shared" ref="J153:L153" si="24">J154</f>
        <v>880.3</v>
      </c>
      <c r="K153" s="110">
        <f t="shared" si="24"/>
        <v>821.4</v>
      </c>
      <c r="L153" s="155">
        <f t="shared" si="24"/>
        <v>30</v>
      </c>
      <c r="M153" s="153" t="s">
        <v>934</v>
      </c>
      <c r="N153" s="153" t="s">
        <v>934</v>
      </c>
      <c r="O153" s="110">
        <v>13131.869999999999</v>
      </c>
      <c r="P153" s="110">
        <f t="shared" si="22"/>
        <v>13.419037400367872</v>
      </c>
      <c r="Q153" s="110">
        <f>Q154</f>
        <v>2913.3853832004907</v>
      </c>
    </row>
    <row r="154" spans="1:17" ht="35.25" x14ac:dyDescent="0.5">
      <c r="A154" s="6">
        <v>1</v>
      </c>
      <c r="B154" s="96">
        <f>SUBTOTAL(103,$A$65:A154)</f>
        <v>81</v>
      </c>
      <c r="C154" s="157" t="s">
        <v>1566</v>
      </c>
      <c r="D154" s="153">
        <v>1985</v>
      </c>
      <c r="E154" s="153"/>
      <c r="F154" s="154" t="s">
        <v>319</v>
      </c>
      <c r="G154" s="153">
        <v>2</v>
      </c>
      <c r="H154" s="153">
        <v>2</v>
      </c>
      <c r="I154" s="110">
        <v>978.6</v>
      </c>
      <c r="J154" s="110">
        <v>880.3</v>
      </c>
      <c r="K154" s="110">
        <v>821.4</v>
      </c>
      <c r="L154" s="155">
        <v>30</v>
      </c>
      <c r="M154" s="153" t="s">
        <v>272</v>
      </c>
      <c r="N154" s="156" t="s">
        <v>274</v>
      </c>
      <c r="O154" s="110">
        <v>13131.869999999999</v>
      </c>
      <c r="P154" s="110">
        <f t="shared" si="22"/>
        <v>13.419037400367872</v>
      </c>
      <c r="Q154" s="110">
        <v>2913.3853832004907</v>
      </c>
    </row>
    <row r="155" spans="1:17" ht="35.25" x14ac:dyDescent="0.5">
      <c r="B155" s="152" t="s">
        <v>903</v>
      </c>
      <c r="C155" s="157"/>
      <c r="D155" s="153" t="s">
        <v>794</v>
      </c>
      <c r="E155" s="153" t="s">
        <v>794</v>
      </c>
      <c r="F155" s="154" t="s">
        <v>794</v>
      </c>
      <c r="G155" s="153" t="s">
        <v>794</v>
      </c>
      <c r="H155" s="153" t="s">
        <v>794</v>
      </c>
      <c r="I155" s="110">
        <f>I156</f>
        <v>3121</v>
      </c>
      <c r="J155" s="110">
        <f>J156</f>
        <v>1791</v>
      </c>
      <c r="K155" s="110">
        <f>K156</f>
        <v>1791</v>
      </c>
      <c r="L155" s="155">
        <f>L156</f>
        <v>171</v>
      </c>
      <c r="M155" s="153" t="s">
        <v>934</v>
      </c>
      <c r="N155" s="153" t="s">
        <v>934</v>
      </c>
      <c r="O155" s="110">
        <v>1031418.23</v>
      </c>
      <c r="P155" s="110">
        <f t="shared" si="22"/>
        <v>330.47684396026915</v>
      </c>
      <c r="Q155" s="110">
        <f>Q156</f>
        <v>1883.7583627042613</v>
      </c>
    </row>
    <row r="156" spans="1:17" ht="35.25" x14ac:dyDescent="0.5">
      <c r="A156" s="6">
        <v>1</v>
      </c>
      <c r="B156" s="96">
        <f>SUBTOTAL(103,$A$65:A156)</f>
        <v>82</v>
      </c>
      <c r="C156" s="157" t="s">
        <v>1567</v>
      </c>
      <c r="D156" s="153">
        <v>1986</v>
      </c>
      <c r="E156" s="153"/>
      <c r="F156" s="154" t="s">
        <v>319</v>
      </c>
      <c r="G156" s="153">
        <v>5</v>
      </c>
      <c r="H156" s="153">
        <v>4</v>
      </c>
      <c r="I156" s="110">
        <v>3121</v>
      </c>
      <c r="J156" s="110">
        <v>1791</v>
      </c>
      <c r="K156" s="110">
        <v>1791</v>
      </c>
      <c r="L156" s="155">
        <v>171</v>
      </c>
      <c r="M156" s="153" t="s">
        <v>349</v>
      </c>
      <c r="N156" s="156" t="s">
        <v>1621</v>
      </c>
      <c r="O156" s="110">
        <v>1031418.23</v>
      </c>
      <c r="P156" s="110">
        <f t="shared" si="22"/>
        <v>330.47684396026915</v>
      </c>
      <c r="Q156" s="110">
        <v>1883.7583627042613</v>
      </c>
    </row>
    <row r="157" spans="1:17" ht="35.25" x14ac:dyDescent="0.5">
      <c r="B157" s="152" t="s">
        <v>889</v>
      </c>
      <c r="C157" s="157"/>
      <c r="D157" s="153" t="s">
        <v>794</v>
      </c>
      <c r="E157" s="153" t="s">
        <v>794</v>
      </c>
      <c r="F157" s="154" t="s">
        <v>794</v>
      </c>
      <c r="G157" s="153" t="s">
        <v>794</v>
      </c>
      <c r="H157" s="153" t="s">
        <v>794</v>
      </c>
      <c r="I157" s="110">
        <f>I158+I159+I160+I161</f>
        <v>6289.82</v>
      </c>
      <c r="J157" s="110">
        <f t="shared" ref="J157:L157" si="25">J158+J159+J160+J161</f>
        <v>5576.1399999999994</v>
      </c>
      <c r="K157" s="110">
        <f t="shared" si="25"/>
        <v>5336.24</v>
      </c>
      <c r="L157" s="155">
        <f t="shared" si="25"/>
        <v>266</v>
      </c>
      <c r="M157" s="153" t="s">
        <v>934</v>
      </c>
      <c r="N157" s="153" t="s">
        <v>934</v>
      </c>
      <c r="O157" s="110">
        <v>1212193.2</v>
      </c>
      <c r="P157" s="110">
        <f t="shared" si="22"/>
        <v>192.72303499941174</v>
      </c>
      <c r="Q157" s="110">
        <f>MAX(Q158:Q161)</f>
        <v>5481.1931443834401</v>
      </c>
    </row>
    <row r="158" spans="1:17" ht="35.25" x14ac:dyDescent="0.5">
      <c r="A158" s="6">
        <v>1</v>
      </c>
      <c r="B158" s="96">
        <f>SUBTOTAL(103,$A$65:A158)</f>
        <v>83</v>
      </c>
      <c r="C158" s="157" t="s">
        <v>1568</v>
      </c>
      <c r="D158" s="153">
        <v>1976</v>
      </c>
      <c r="E158" s="153"/>
      <c r="F158" s="154" t="s">
        <v>273</v>
      </c>
      <c r="G158" s="153">
        <v>5</v>
      </c>
      <c r="H158" s="153">
        <v>4</v>
      </c>
      <c r="I158" s="110">
        <v>3560.34</v>
      </c>
      <c r="J158" s="110">
        <v>3122.34</v>
      </c>
      <c r="K158" s="110">
        <f>J158-30.4</f>
        <v>3091.94</v>
      </c>
      <c r="L158" s="155">
        <v>145</v>
      </c>
      <c r="M158" s="153" t="s">
        <v>275</v>
      </c>
      <c r="N158" s="156" t="s">
        <v>1622</v>
      </c>
      <c r="O158" s="110">
        <v>778290.84</v>
      </c>
      <c r="P158" s="110">
        <f t="shared" si="22"/>
        <v>218.60014492997857</v>
      </c>
      <c r="Q158" s="110">
        <v>1626.6847211221398</v>
      </c>
    </row>
    <row r="159" spans="1:17" ht="35.25" x14ac:dyDescent="0.5">
      <c r="A159" s="6">
        <v>1</v>
      </c>
      <c r="B159" s="96">
        <f>SUBTOTAL(103,$A$65:A159)</f>
        <v>84</v>
      </c>
      <c r="C159" s="157" t="s">
        <v>1569</v>
      </c>
      <c r="D159" s="153">
        <v>1958</v>
      </c>
      <c r="E159" s="153"/>
      <c r="F159" s="154" t="s">
        <v>273</v>
      </c>
      <c r="G159" s="153">
        <v>2</v>
      </c>
      <c r="H159" s="153">
        <v>2</v>
      </c>
      <c r="I159" s="110">
        <v>673.9</v>
      </c>
      <c r="J159" s="110">
        <v>615.9</v>
      </c>
      <c r="K159" s="110">
        <v>562.29999999999995</v>
      </c>
      <c r="L159" s="155">
        <v>32</v>
      </c>
      <c r="M159" s="153" t="s">
        <v>272</v>
      </c>
      <c r="N159" s="156" t="s">
        <v>274</v>
      </c>
      <c r="O159" s="110">
        <v>7786.07</v>
      </c>
      <c r="P159" s="110">
        <f t="shared" si="22"/>
        <v>11.553746846713162</v>
      </c>
      <c r="Q159" s="110">
        <v>5481.1931443834401</v>
      </c>
    </row>
    <row r="160" spans="1:17" ht="35.25" x14ac:dyDescent="0.5">
      <c r="A160" s="6">
        <v>1</v>
      </c>
      <c r="B160" s="96">
        <f>SUBTOTAL(103,$A$65:A160)</f>
        <v>85</v>
      </c>
      <c r="C160" s="157" t="s">
        <v>1570</v>
      </c>
      <c r="D160" s="153">
        <v>1975</v>
      </c>
      <c r="E160" s="153"/>
      <c r="F160" s="154" t="s">
        <v>273</v>
      </c>
      <c r="G160" s="153">
        <v>2</v>
      </c>
      <c r="H160" s="153">
        <v>2</v>
      </c>
      <c r="I160" s="110">
        <v>768.5</v>
      </c>
      <c r="J160" s="110">
        <v>710</v>
      </c>
      <c r="K160" s="110">
        <v>655.20000000000005</v>
      </c>
      <c r="L160" s="155">
        <v>38</v>
      </c>
      <c r="M160" s="153" t="s">
        <v>272</v>
      </c>
      <c r="N160" s="156" t="s">
        <v>274</v>
      </c>
      <c r="O160" s="110">
        <v>368445</v>
      </c>
      <c r="P160" s="110">
        <f t="shared" si="22"/>
        <v>479.43396226415092</v>
      </c>
      <c r="Q160" s="110">
        <v>1474.0962706571243</v>
      </c>
    </row>
    <row r="161" spans="1:17" ht="35.25" x14ac:dyDescent="0.5">
      <c r="A161" s="6">
        <v>1</v>
      </c>
      <c r="B161" s="96">
        <f>SUBTOTAL(103,$A$65:A161)</f>
        <v>86</v>
      </c>
      <c r="C161" s="157" t="s">
        <v>1598</v>
      </c>
      <c r="D161" s="153">
        <v>1984</v>
      </c>
      <c r="E161" s="153"/>
      <c r="F161" s="154" t="s">
        <v>319</v>
      </c>
      <c r="G161" s="153">
        <v>4</v>
      </c>
      <c r="H161" s="153">
        <v>2</v>
      </c>
      <c r="I161" s="110">
        <v>1287.08</v>
      </c>
      <c r="J161" s="110">
        <v>1127.9000000000001</v>
      </c>
      <c r="K161" s="110">
        <v>1026.8</v>
      </c>
      <c r="L161" s="155">
        <v>51</v>
      </c>
      <c r="M161" s="153" t="s">
        <v>272</v>
      </c>
      <c r="N161" s="156" t="s">
        <v>274</v>
      </c>
      <c r="O161" s="110">
        <v>57671.29</v>
      </c>
      <c r="P161" s="110">
        <f t="shared" si="22"/>
        <v>44.807851881778916</v>
      </c>
      <c r="Q161" s="110">
        <v>2386.0938558597759</v>
      </c>
    </row>
    <row r="162" spans="1:17" ht="35.25" x14ac:dyDescent="0.5">
      <c r="B162" s="152" t="s">
        <v>913</v>
      </c>
      <c r="C162" s="157"/>
      <c r="D162" s="153" t="s">
        <v>794</v>
      </c>
      <c r="E162" s="153" t="s">
        <v>794</v>
      </c>
      <c r="F162" s="154" t="s">
        <v>794</v>
      </c>
      <c r="G162" s="153" t="s">
        <v>794</v>
      </c>
      <c r="H162" s="153" t="s">
        <v>794</v>
      </c>
      <c r="I162" s="110">
        <f>I163</f>
        <v>5085.1000000000004</v>
      </c>
      <c r="J162" s="110">
        <f>J163</f>
        <v>4673.5</v>
      </c>
      <c r="K162" s="110">
        <f>K163</f>
        <v>4551.8</v>
      </c>
      <c r="L162" s="155">
        <f>L163</f>
        <v>199</v>
      </c>
      <c r="M162" s="153" t="s">
        <v>934</v>
      </c>
      <c r="N162" s="153" t="s">
        <v>934</v>
      </c>
      <c r="O162" s="110">
        <v>596858.56999999995</v>
      </c>
      <c r="P162" s="110">
        <f t="shared" si="22"/>
        <v>117.37400837741636</v>
      </c>
      <c r="Q162" s="110">
        <f>Q163</f>
        <v>1453.9728972881555</v>
      </c>
    </row>
    <row r="163" spans="1:17" ht="35.25" x14ac:dyDescent="0.5">
      <c r="A163" s="6">
        <v>1</v>
      </c>
      <c r="B163" s="96">
        <f>SUBTOTAL(103,$A$65:A163)</f>
        <v>87</v>
      </c>
      <c r="C163" s="157" t="s">
        <v>1571</v>
      </c>
      <c r="D163" s="153">
        <v>1982</v>
      </c>
      <c r="E163" s="153"/>
      <c r="F163" s="154" t="s">
        <v>319</v>
      </c>
      <c r="G163" s="153">
        <v>5</v>
      </c>
      <c r="H163" s="153">
        <v>6</v>
      </c>
      <c r="I163" s="110">
        <v>5085.1000000000004</v>
      </c>
      <c r="J163" s="110">
        <v>4673.5</v>
      </c>
      <c r="K163" s="110">
        <v>4551.8</v>
      </c>
      <c r="L163" s="155">
        <v>199</v>
      </c>
      <c r="M163" s="153" t="s">
        <v>349</v>
      </c>
      <c r="N163" s="156" t="s">
        <v>1623</v>
      </c>
      <c r="O163" s="110">
        <v>596858.56999999995</v>
      </c>
      <c r="P163" s="110">
        <f t="shared" si="22"/>
        <v>117.37400837741636</v>
      </c>
      <c r="Q163" s="110">
        <v>1453.9728972881555</v>
      </c>
    </row>
    <row r="164" spans="1:17" ht="35.25" x14ac:dyDescent="0.5">
      <c r="B164" s="152" t="s">
        <v>874</v>
      </c>
      <c r="C164" s="157"/>
      <c r="D164" s="153" t="s">
        <v>794</v>
      </c>
      <c r="E164" s="153" t="s">
        <v>794</v>
      </c>
      <c r="F164" s="153" t="s">
        <v>794</v>
      </c>
      <c r="G164" s="153" t="s">
        <v>794</v>
      </c>
      <c r="H164" s="153" t="s">
        <v>794</v>
      </c>
      <c r="I164" s="110">
        <f>I165</f>
        <v>3387.86</v>
      </c>
      <c r="J164" s="110">
        <f>J165</f>
        <v>2034.29</v>
      </c>
      <c r="K164" s="110">
        <f>K165</f>
        <v>1015.36</v>
      </c>
      <c r="L164" s="155">
        <f>L165</f>
        <v>59</v>
      </c>
      <c r="M164" s="153" t="s">
        <v>934</v>
      </c>
      <c r="N164" s="153" t="s">
        <v>934</v>
      </c>
      <c r="O164" s="110">
        <v>316888.5</v>
      </c>
      <c r="P164" s="110">
        <f t="shared" si="22"/>
        <v>93.536480255972791</v>
      </c>
      <c r="Q164" s="110">
        <f>Q165</f>
        <v>1302.290150124267</v>
      </c>
    </row>
    <row r="165" spans="1:17" ht="35.25" x14ac:dyDescent="0.5">
      <c r="A165" s="6">
        <v>1</v>
      </c>
      <c r="B165" s="96">
        <f>SUBTOTAL(103,$A$65:A165)</f>
        <v>88</v>
      </c>
      <c r="C165" s="157" t="s">
        <v>1572</v>
      </c>
      <c r="D165" s="153">
        <v>1967</v>
      </c>
      <c r="E165" s="153"/>
      <c r="F165" s="154" t="s">
        <v>273</v>
      </c>
      <c r="G165" s="153">
        <v>4</v>
      </c>
      <c r="H165" s="153">
        <v>3</v>
      </c>
      <c r="I165" s="110">
        <v>3387.86</v>
      </c>
      <c r="J165" s="110">
        <v>2034.29</v>
      </c>
      <c r="K165" s="110">
        <v>1015.36</v>
      </c>
      <c r="L165" s="155">
        <v>59</v>
      </c>
      <c r="M165" s="153" t="s">
        <v>275</v>
      </c>
      <c r="N165" s="156" t="s">
        <v>1380</v>
      </c>
      <c r="O165" s="110">
        <v>316888.5</v>
      </c>
      <c r="P165" s="110">
        <f t="shared" si="22"/>
        <v>93.536480255972791</v>
      </c>
      <c r="Q165" s="110">
        <v>1302.290150124267</v>
      </c>
    </row>
    <row r="166" spans="1:17" ht="35.25" x14ac:dyDescent="0.5">
      <c r="B166" s="152" t="s">
        <v>1497</v>
      </c>
      <c r="C166" s="157"/>
      <c r="D166" s="153" t="s">
        <v>794</v>
      </c>
      <c r="E166" s="153" t="s">
        <v>794</v>
      </c>
      <c r="F166" s="154" t="s">
        <v>794</v>
      </c>
      <c r="G166" s="153" t="s">
        <v>794</v>
      </c>
      <c r="H166" s="153" t="s">
        <v>794</v>
      </c>
      <c r="I166" s="110">
        <f>I167+I168</f>
        <v>15972.619999999999</v>
      </c>
      <c r="J166" s="110">
        <f>J167+J168</f>
        <v>13085.72</v>
      </c>
      <c r="K166" s="110">
        <f>K167+K168</f>
        <v>12402.84</v>
      </c>
      <c r="L166" s="155">
        <f>L167+L168</f>
        <v>615</v>
      </c>
      <c r="M166" s="153" t="s">
        <v>934</v>
      </c>
      <c r="N166" s="153" t="s">
        <v>934</v>
      </c>
      <c r="O166" s="110">
        <v>1988549.43</v>
      </c>
      <c r="P166" s="110">
        <f t="shared" si="22"/>
        <v>124.49738552598134</v>
      </c>
      <c r="Q166" s="110">
        <f>MAX(Q167:Q168)</f>
        <v>2014.2289039536506</v>
      </c>
    </row>
    <row r="167" spans="1:17" ht="35.25" x14ac:dyDescent="0.5">
      <c r="A167" s="6">
        <v>1</v>
      </c>
      <c r="B167" s="96">
        <f>SUBTOTAL(103,$A$65:A167)</f>
        <v>89</v>
      </c>
      <c r="C167" s="157" t="s">
        <v>1573</v>
      </c>
      <c r="D167" s="153">
        <v>1989</v>
      </c>
      <c r="E167" s="153"/>
      <c r="F167" s="154" t="s">
        <v>273</v>
      </c>
      <c r="G167" s="153">
        <v>5</v>
      </c>
      <c r="H167" s="153">
        <v>12</v>
      </c>
      <c r="I167" s="110">
        <v>10086.92</v>
      </c>
      <c r="J167" s="110">
        <v>8329.2199999999993</v>
      </c>
      <c r="K167" s="110">
        <v>7734.54</v>
      </c>
      <c r="L167" s="155">
        <v>405</v>
      </c>
      <c r="M167" s="153" t="s">
        <v>275</v>
      </c>
      <c r="N167" s="156" t="s">
        <v>1624</v>
      </c>
      <c r="O167" s="110">
        <v>83534.5</v>
      </c>
      <c r="P167" s="110">
        <f t="shared" si="22"/>
        <v>8.2814674846236507</v>
      </c>
      <c r="Q167" s="110">
        <v>1666.5751906429314</v>
      </c>
    </row>
    <row r="168" spans="1:17" ht="35.25" x14ac:dyDescent="0.5">
      <c r="A168" s="6">
        <v>1</v>
      </c>
      <c r="B168" s="96">
        <f>SUBTOTAL(103,$A$65:A168)</f>
        <v>90</v>
      </c>
      <c r="C168" s="157" t="s">
        <v>1574</v>
      </c>
      <c r="D168" s="153">
        <v>1977</v>
      </c>
      <c r="E168" s="153"/>
      <c r="F168" s="154" t="s">
        <v>273</v>
      </c>
      <c r="G168" s="153">
        <v>5</v>
      </c>
      <c r="H168" s="153">
        <v>8</v>
      </c>
      <c r="I168" s="110">
        <v>5885.7</v>
      </c>
      <c r="J168" s="110">
        <v>4756.5</v>
      </c>
      <c r="K168" s="110">
        <v>4668.3</v>
      </c>
      <c r="L168" s="155">
        <v>210</v>
      </c>
      <c r="M168" s="153" t="s">
        <v>275</v>
      </c>
      <c r="N168" s="156" t="s">
        <v>1625</v>
      </c>
      <c r="O168" s="110">
        <v>1905014.93</v>
      </c>
      <c r="P168" s="110">
        <f t="shared" si="22"/>
        <v>323.66837079701651</v>
      </c>
      <c r="Q168" s="110">
        <v>2014.2289039536506</v>
      </c>
    </row>
    <row r="169" spans="1:17" ht="35.25" x14ac:dyDescent="0.5">
      <c r="B169" s="152" t="s">
        <v>927</v>
      </c>
      <c r="C169" s="157"/>
      <c r="D169" s="153" t="s">
        <v>794</v>
      </c>
      <c r="E169" s="153" t="s">
        <v>794</v>
      </c>
      <c r="F169" s="154" t="s">
        <v>794</v>
      </c>
      <c r="G169" s="153" t="s">
        <v>794</v>
      </c>
      <c r="H169" s="153" t="s">
        <v>794</v>
      </c>
      <c r="I169" s="110">
        <f>I170+I171</f>
        <v>2614.9</v>
      </c>
      <c r="J169" s="110">
        <f>J170+J171</f>
        <v>2360.9</v>
      </c>
      <c r="K169" s="110">
        <f>K170+K171</f>
        <v>1813.1</v>
      </c>
      <c r="L169" s="155">
        <f>L170+L171</f>
        <v>148</v>
      </c>
      <c r="M169" s="153" t="s">
        <v>934</v>
      </c>
      <c r="N169" s="153" t="s">
        <v>934</v>
      </c>
      <c r="O169" s="110">
        <v>753140.14999999991</v>
      </c>
      <c r="P169" s="110">
        <f t="shared" si="22"/>
        <v>288.01871964511065</v>
      </c>
      <c r="Q169" s="110">
        <f>MAX(Q170:Q171)</f>
        <v>5488.5448969696972</v>
      </c>
    </row>
    <row r="170" spans="1:17" ht="35.25" x14ac:dyDescent="0.5">
      <c r="A170" s="6">
        <v>1</v>
      </c>
      <c r="B170" s="96">
        <f>SUBTOTAL(103,$A$65:A170)</f>
        <v>91</v>
      </c>
      <c r="C170" s="157" t="s">
        <v>1575</v>
      </c>
      <c r="D170" s="153">
        <v>1961</v>
      </c>
      <c r="E170" s="153"/>
      <c r="F170" s="154" t="s">
        <v>273</v>
      </c>
      <c r="G170" s="153">
        <v>2</v>
      </c>
      <c r="H170" s="153">
        <v>3</v>
      </c>
      <c r="I170" s="110">
        <v>825</v>
      </c>
      <c r="J170" s="110">
        <v>769.5</v>
      </c>
      <c r="K170" s="110">
        <v>628.1</v>
      </c>
      <c r="L170" s="155">
        <v>57</v>
      </c>
      <c r="M170" s="153" t="s">
        <v>275</v>
      </c>
      <c r="N170" s="156" t="s">
        <v>1626</v>
      </c>
      <c r="O170" s="110">
        <v>712322.94</v>
      </c>
      <c r="P170" s="110">
        <f t="shared" si="22"/>
        <v>863.42174545454543</v>
      </c>
      <c r="Q170" s="110">
        <v>5488.5448969696972</v>
      </c>
    </row>
    <row r="171" spans="1:17" ht="35.25" x14ac:dyDescent="0.5">
      <c r="A171" s="6">
        <v>1</v>
      </c>
      <c r="B171" s="96">
        <f>SUBTOTAL(103,$A$65:A171)</f>
        <v>92</v>
      </c>
      <c r="C171" s="157" t="s">
        <v>1576</v>
      </c>
      <c r="D171" s="153">
        <v>1985</v>
      </c>
      <c r="E171" s="153"/>
      <c r="F171" s="154" t="s">
        <v>273</v>
      </c>
      <c r="G171" s="153">
        <v>4</v>
      </c>
      <c r="H171" s="153">
        <v>2</v>
      </c>
      <c r="I171" s="110">
        <v>1789.9</v>
      </c>
      <c r="J171" s="110">
        <v>1591.4</v>
      </c>
      <c r="K171" s="110">
        <v>1185</v>
      </c>
      <c r="L171" s="155">
        <v>91</v>
      </c>
      <c r="M171" s="153" t="s">
        <v>275</v>
      </c>
      <c r="N171" s="156" t="s">
        <v>1626</v>
      </c>
      <c r="O171" s="110">
        <v>40817.21</v>
      </c>
      <c r="P171" s="110">
        <f t="shared" si="22"/>
        <v>22.804184591317949</v>
      </c>
      <c r="Q171" s="110">
        <v>2377.1131057600978</v>
      </c>
    </row>
    <row r="172" spans="1:17" ht="35.25" x14ac:dyDescent="0.5">
      <c r="B172" s="152" t="s">
        <v>900</v>
      </c>
      <c r="C172" s="157"/>
      <c r="D172" s="153" t="s">
        <v>794</v>
      </c>
      <c r="E172" s="153" t="s">
        <v>794</v>
      </c>
      <c r="F172" s="154" t="s">
        <v>794</v>
      </c>
      <c r="G172" s="153" t="s">
        <v>794</v>
      </c>
      <c r="H172" s="153" t="s">
        <v>794</v>
      </c>
      <c r="I172" s="110">
        <f>I173</f>
        <v>677.1</v>
      </c>
      <c r="J172" s="110">
        <f>J173</f>
        <v>618.1</v>
      </c>
      <c r="K172" s="110">
        <f>K173</f>
        <v>363.3</v>
      </c>
      <c r="L172" s="155">
        <f>L173</f>
        <v>37</v>
      </c>
      <c r="M172" s="153" t="s">
        <v>934</v>
      </c>
      <c r="N172" s="153" t="s">
        <v>934</v>
      </c>
      <c r="O172" s="110">
        <v>39585</v>
      </c>
      <c r="P172" s="110">
        <f t="shared" si="22"/>
        <v>58.462560921577314</v>
      </c>
      <c r="Q172" s="110">
        <f>Q173</f>
        <v>4857.0820262885836</v>
      </c>
    </row>
    <row r="173" spans="1:17" ht="35.25" x14ac:dyDescent="0.5">
      <c r="A173" s="6">
        <v>1</v>
      </c>
      <c r="B173" s="96">
        <f>SUBTOTAL(103,$A$65:A173)</f>
        <v>93</v>
      </c>
      <c r="C173" s="157" t="s">
        <v>1577</v>
      </c>
      <c r="D173" s="153">
        <v>1991</v>
      </c>
      <c r="E173" s="153"/>
      <c r="F173" s="154" t="s">
        <v>319</v>
      </c>
      <c r="G173" s="153">
        <v>2</v>
      </c>
      <c r="H173" s="153">
        <v>2</v>
      </c>
      <c r="I173" s="110">
        <v>677.1</v>
      </c>
      <c r="J173" s="110">
        <v>618.1</v>
      </c>
      <c r="K173" s="110">
        <v>363.3</v>
      </c>
      <c r="L173" s="155">
        <v>37</v>
      </c>
      <c r="M173" s="153" t="s">
        <v>272</v>
      </c>
      <c r="N173" s="156" t="s">
        <v>274</v>
      </c>
      <c r="O173" s="110">
        <v>39585</v>
      </c>
      <c r="P173" s="110">
        <f t="shared" si="22"/>
        <v>58.462560921577314</v>
      </c>
      <c r="Q173" s="110">
        <v>4857.0820262885836</v>
      </c>
    </row>
    <row r="174" spans="1:17" ht="35.25" x14ac:dyDescent="0.5">
      <c r="B174" s="152" t="s">
        <v>868</v>
      </c>
      <c r="C174" s="157"/>
      <c r="D174" s="153" t="s">
        <v>794</v>
      </c>
      <c r="E174" s="153" t="s">
        <v>794</v>
      </c>
      <c r="F174" s="154" t="s">
        <v>794</v>
      </c>
      <c r="G174" s="153" t="s">
        <v>794</v>
      </c>
      <c r="H174" s="153" t="s">
        <v>794</v>
      </c>
      <c r="I174" s="110">
        <f>I175</f>
        <v>805.6</v>
      </c>
      <c r="J174" s="110">
        <f>J175</f>
        <v>744.2</v>
      </c>
      <c r="K174" s="110">
        <f>K175</f>
        <v>701.4</v>
      </c>
      <c r="L174" s="155">
        <f>L175</f>
        <v>44</v>
      </c>
      <c r="M174" s="153" t="s">
        <v>934</v>
      </c>
      <c r="N174" s="153" t="s">
        <v>934</v>
      </c>
      <c r="O174" s="110">
        <v>275468.56</v>
      </c>
      <c r="P174" s="110">
        <f t="shared" si="22"/>
        <v>341.94210526315788</v>
      </c>
      <c r="Q174" s="110">
        <f>Q175</f>
        <v>5313.0408142999004</v>
      </c>
    </row>
    <row r="175" spans="1:17" ht="35.25" x14ac:dyDescent="0.5">
      <c r="A175" s="6">
        <v>1</v>
      </c>
      <c r="B175" s="96">
        <f>SUBTOTAL(103,$A$65:A175)</f>
        <v>94</v>
      </c>
      <c r="C175" s="157" t="s">
        <v>1578</v>
      </c>
      <c r="D175" s="153">
        <v>1969</v>
      </c>
      <c r="E175" s="153"/>
      <c r="F175" s="154" t="s">
        <v>273</v>
      </c>
      <c r="G175" s="153">
        <v>2</v>
      </c>
      <c r="H175" s="153">
        <v>2</v>
      </c>
      <c r="I175" s="110">
        <v>805.6</v>
      </c>
      <c r="J175" s="110">
        <v>744.2</v>
      </c>
      <c r="K175" s="110">
        <v>701.4</v>
      </c>
      <c r="L175" s="155">
        <v>44</v>
      </c>
      <c r="M175" s="153" t="s">
        <v>272</v>
      </c>
      <c r="N175" s="156" t="s">
        <v>274</v>
      </c>
      <c r="O175" s="110">
        <v>275468.56</v>
      </c>
      <c r="P175" s="110">
        <f t="shared" si="22"/>
        <v>341.94210526315788</v>
      </c>
      <c r="Q175" s="110">
        <v>5313.0408142999004</v>
      </c>
    </row>
    <row r="176" spans="1:17" ht="35.25" x14ac:dyDescent="0.5">
      <c r="B176" s="152" t="s">
        <v>895</v>
      </c>
      <c r="C176" s="157"/>
      <c r="D176" s="153" t="s">
        <v>794</v>
      </c>
      <c r="E176" s="153" t="s">
        <v>794</v>
      </c>
      <c r="F176" s="154" t="s">
        <v>794</v>
      </c>
      <c r="G176" s="153" t="s">
        <v>794</v>
      </c>
      <c r="H176" s="153" t="s">
        <v>794</v>
      </c>
      <c r="I176" s="110">
        <f>I177+I178+I179</f>
        <v>12931.86</v>
      </c>
      <c r="J176" s="110">
        <f>J177+J178+J179</f>
        <v>8229.4599999999991</v>
      </c>
      <c r="K176" s="110">
        <f>K177+K178+K179</f>
        <v>6014.5399999999991</v>
      </c>
      <c r="L176" s="155">
        <f>L177+L178+L179</f>
        <v>621</v>
      </c>
      <c r="M176" s="153" t="s">
        <v>934</v>
      </c>
      <c r="N176" s="153" t="s">
        <v>934</v>
      </c>
      <c r="O176" s="110">
        <v>274179.65000000002</v>
      </c>
      <c r="P176" s="110">
        <f t="shared" si="22"/>
        <v>21.201872739111003</v>
      </c>
      <c r="Q176" s="110">
        <f>MAX(Q177:Q179)</f>
        <v>5471.5835308859396</v>
      </c>
    </row>
    <row r="177" spans="1:17" ht="35.25" x14ac:dyDescent="0.5">
      <c r="A177" s="6">
        <v>1</v>
      </c>
      <c r="B177" s="96">
        <f>SUBTOTAL(103,$A$65:A177)</f>
        <v>95</v>
      </c>
      <c r="C177" s="157" t="s">
        <v>1579</v>
      </c>
      <c r="D177" s="153">
        <v>1984</v>
      </c>
      <c r="E177" s="153"/>
      <c r="F177" s="154" t="s">
        <v>319</v>
      </c>
      <c r="G177" s="153">
        <v>5</v>
      </c>
      <c r="H177" s="153">
        <v>6</v>
      </c>
      <c r="I177" s="110">
        <v>6737.77</v>
      </c>
      <c r="J177" s="110">
        <v>4669.7</v>
      </c>
      <c r="K177" s="110">
        <v>4492.3999999999996</v>
      </c>
      <c r="L177" s="155">
        <v>246</v>
      </c>
      <c r="M177" s="153" t="s">
        <v>275</v>
      </c>
      <c r="N177" s="156" t="s">
        <v>1434</v>
      </c>
      <c r="O177" s="110">
        <v>82303.180000000008</v>
      </c>
      <c r="P177" s="110">
        <f t="shared" si="22"/>
        <v>12.215195828887007</v>
      </c>
      <c r="Q177" s="110">
        <v>1117.4343861544696</v>
      </c>
    </row>
    <row r="178" spans="1:17" ht="35.25" x14ac:dyDescent="0.5">
      <c r="A178" s="6">
        <v>1</v>
      </c>
      <c r="B178" s="96">
        <f>SUBTOTAL(103,$A$65:A178)</f>
        <v>96</v>
      </c>
      <c r="C178" s="157" t="s">
        <v>1580</v>
      </c>
      <c r="D178" s="153">
        <v>1976</v>
      </c>
      <c r="E178" s="153"/>
      <c r="F178" s="154" t="s">
        <v>273</v>
      </c>
      <c r="G178" s="153">
        <v>2</v>
      </c>
      <c r="H178" s="153">
        <v>2</v>
      </c>
      <c r="I178" s="110">
        <v>590.55999999999995</v>
      </c>
      <c r="J178" s="110">
        <v>553.66</v>
      </c>
      <c r="K178" s="110">
        <v>414.9</v>
      </c>
      <c r="L178" s="155">
        <v>34</v>
      </c>
      <c r="M178" s="153" t="s">
        <v>275</v>
      </c>
      <c r="N178" s="156" t="s">
        <v>300</v>
      </c>
      <c r="O178" s="110">
        <v>13519.03</v>
      </c>
      <c r="P178" s="110">
        <f t="shared" si="22"/>
        <v>22.891882281224603</v>
      </c>
      <c r="Q178" s="110">
        <v>5471.5835308859396</v>
      </c>
    </row>
    <row r="179" spans="1:17" ht="35.25" x14ac:dyDescent="0.5">
      <c r="A179" s="6">
        <v>1</v>
      </c>
      <c r="B179" s="96">
        <f>SUBTOTAL(103,$A$65:A179)</f>
        <v>97</v>
      </c>
      <c r="C179" s="157" t="s">
        <v>1581</v>
      </c>
      <c r="D179" s="153">
        <v>1975</v>
      </c>
      <c r="E179" s="153">
        <v>2010</v>
      </c>
      <c r="F179" s="154" t="s">
        <v>273</v>
      </c>
      <c r="G179" s="153">
        <v>5</v>
      </c>
      <c r="H179" s="153">
        <v>1</v>
      </c>
      <c r="I179" s="110">
        <v>5603.53</v>
      </c>
      <c r="J179" s="110">
        <v>3006.1</v>
      </c>
      <c r="K179" s="110">
        <v>1107.24</v>
      </c>
      <c r="L179" s="155">
        <v>341</v>
      </c>
      <c r="M179" s="153" t="s">
        <v>272</v>
      </c>
      <c r="N179" s="156" t="s">
        <v>274</v>
      </c>
      <c r="O179" s="110">
        <v>178357.44</v>
      </c>
      <c r="P179" s="110">
        <f t="shared" si="22"/>
        <v>31.829478917753633</v>
      </c>
      <c r="Q179" s="110">
        <v>2753.19</v>
      </c>
    </row>
    <row r="180" spans="1:17" ht="35.25" x14ac:dyDescent="0.5">
      <c r="B180" s="152" t="s">
        <v>1362</v>
      </c>
      <c r="C180" s="157"/>
      <c r="D180" s="153" t="s">
        <v>794</v>
      </c>
      <c r="E180" s="153" t="s">
        <v>794</v>
      </c>
      <c r="F180" s="154" t="s">
        <v>794</v>
      </c>
      <c r="G180" s="153" t="s">
        <v>794</v>
      </c>
      <c r="H180" s="153" t="s">
        <v>794</v>
      </c>
      <c r="I180" s="110">
        <f>I181</f>
        <v>418.1</v>
      </c>
      <c r="J180" s="110">
        <f>J181</f>
        <v>377.6</v>
      </c>
      <c r="K180" s="110">
        <f>K181</f>
        <v>284.3</v>
      </c>
      <c r="L180" s="155">
        <f>L181</f>
        <v>12</v>
      </c>
      <c r="M180" s="153" t="s">
        <v>934</v>
      </c>
      <c r="N180" s="153" t="s">
        <v>934</v>
      </c>
      <c r="O180" s="110">
        <v>273035</v>
      </c>
      <c r="P180" s="110">
        <f t="shared" si="22"/>
        <v>653.03755082516136</v>
      </c>
      <c r="Q180" s="110">
        <f>Q181</f>
        <v>8391.721143027984</v>
      </c>
    </row>
    <row r="181" spans="1:17" ht="35.25" x14ac:dyDescent="0.5">
      <c r="A181" s="6">
        <v>1</v>
      </c>
      <c r="B181" s="96">
        <f>SUBTOTAL(103,$A$65:A181)</f>
        <v>98</v>
      </c>
      <c r="C181" s="157" t="s">
        <v>1582</v>
      </c>
      <c r="D181" s="153">
        <v>1987</v>
      </c>
      <c r="E181" s="153"/>
      <c r="F181" s="154" t="s">
        <v>273</v>
      </c>
      <c r="G181" s="153">
        <v>2</v>
      </c>
      <c r="H181" s="153">
        <v>2</v>
      </c>
      <c r="I181" s="110">
        <v>418.1</v>
      </c>
      <c r="J181" s="110">
        <v>377.6</v>
      </c>
      <c r="K181" s="110">
        <v>284.3</v>
      </c>
      <c r="L181" s="155">
        <v>12</v>
      </c>
      <c r="M181" s="153" t="s">
        <v>272</v>
      </c>
      <c r="N181" s="156" t="s">
        <v>274</v>
      </c>
      <c r="O181" s="110">
        <v>273035</v>
      </c>
      <c r="P181" s="110">
        <f t="shared" si="22"/>
        <v>653.03755082516136</v>
      </c>
      <c r="Q181" s="110">
        <v>8391.721143027984</v>
      </c>
    </row>
    <row r="182" spans="1:17" ht="35.25" x14ac:dyDescent="0.5">
      <c r="B182" s="152" t="s">
        <v>891</v>
      </c>
      <c r="C182" s="157"/>
      <c r="D182" s="153" t="s">
        <v>794</v>
      </c>
      <c r="E182" s="153" t="s">
        <v>794</v>
      </c>
      <c r="F182" s="154" t="s">
        <v>794</v>
      </c>
      <c r="G182" s="153" t="s">
        <v>794</v>
      </c>
      <c r="H182" s="153" t="s">
        <v>794</v>
      </c>
      <c r="I182" s="110">
        <f>I183</f>
        <v>344.6</v>
      </c>
      <c r="J182" s="110">
        <f>J183</f>
        <v>312.2</v>
      </c>
      <c r="K182" s="110">
        <f>K183</f>
        <v>312.2</v>
      </c>
      <c r="L182" s="155">
        <f>L183</f>
        <v>15</v>
      </c>
      <c r="M182" s="153" t="s">
        <v>934</v>
      </c>
      <c r="N182" s="153" t="s">
        <v>934</v>
      </c>
      <c r="O182" s="110">
        <v>237510</v>
      </c>
      <c r="P182" s="110">
        <f t="shared" si="22"/>
        <v>689.23389437028436</v>
      </c>
      <c r="Q182" s="110">
        <f>Q183</f>
        <v>7736.2705142193836</v>
      </c>
    </row>
    <row r="183" spans="1:17" ht="35.25" x14ac:dyDescent="0.5">
      <c r="A183" s="6">
        <v>1</v>
      </c>
      <c r="B183" s="96">
        <f>SUBTOTAL(103,$A$65:A183)</f>
        <v>99</v>
      </c>
      <c r="C183" s="157" t="s">
        <v>1583</v>
      </c>
      <c r="D183" s="153">
        <v>1975</v>
      </c>
      <c r="E183" s="153"/>
      <c r="F183" s="154" t="s">
        <v>273</v>
      </c>
      <c r="G183" s="153">
        <v>2</v>
      </c>
      <c r="H183" s="153">
        <v>1</v>
      </c>
      <c r="I183" s="110">
        <v>344.6</v>
      </c>
      <c r="J183" s="110">
        <v>312.2</v>
      </c>
      <c r="K183" s="110">
        <v>312.2</v>
      </c>
      <c r="L183" s="155">
        <v>15</v>
      </c>
      <c r="M183" s="153" t="s">
        <v>272</v>
      </c>
      <c r="N183" s="156" t="s">
        <v>274</v>
      </c>
      <c r="O183" s="110">
        <v>237510</v>
      </c>
      <c r="P183" s="110">
        <f t="shared" si="22"/>
        <v>689.23389437028436</v>
      </c>
      <c r="Q183" s="110">
        <v>7736.2705142193836</v>
      </c>
    </row>
    <row r="184" spans="1:17" ht="35.25" x14ac:dyDescent="0.5">
      <c r="B184" s="152" t="s">
        <v>879</v>
      </c>
      <c r="C184" s="157"/>
      <c r="D184" s="153" t="s">
        <v>794</v>
      </c>
      <c r="E184" s="153" t="s">
        <v>794</v>
      </c>
      <c r="F184" s="154" t="s">
        <v>794</v>
      </c>
      <c r="G184" s="153" t="s">
        <v>794</v>
      </c>
      <c r="H184" s="153" t="s">
        <v>794</v>
      </c>
      <c r="I184" s="110">
        <f>I185</f>
        <v>3508.9</v>
      </c>
      <c r="J184" s="110">
        <f>J185</f>
        <v>3167.7</v>
      </c>
      <c r="K184" s="110">
        <f>K185</f>
        <v>2665.2</v>
      </c>
      <c r="L184" s="155">
        <f>L185</f>
        <v>145</v>
      </c>
      <c r="M184" s="153" t="s">
        <v>934</v>
      </c>
      <c r="N184" s="153" t="s">
        <v>934</v>
      </c>
      <c r="O184" s="110">
        <v>1114586.8</v>
      </c>
      <c r="P184" s="110">
        <f t="shared" si="22"/>
        <v>317.64564393399644</v>
      </c>
      <c r="Q184" s="110">
        <f>Q185</f>
        <v>689.15728575906974</v>
      </c>
    </row>
    <row r="185" spans="1:17" ht="35.25" x14ac:dyDescent="0.5">
      <c r="A185" s="6">
        <v>1</v>
      </c>
      <c r="B185" s="96">
        <f>SUBTOTAL(103,$A$65:A185)</f>
        <v>100</v>
      </c>
      <c r="C185" s="157" t="s">
        <v>1584</v>
      </c>
      <c r="D185" s="153">
        <v>1987</v>
      </c>
      <c r="E185" s="153"/>
      <c r="F185" s="154" t="s">
        <v>319</v>
      </c>
      <c r="G185" s="153">
        <v>5</v>
      </c>
      <c r="H185" s="153">
        <v>4</v>
      </c>
      <c r="I185" s="110">
        <v>3508.9</v>
      </c>
      <c r="J185" s="110">
        <v>3167.7</v>
      </c>
      <c r="K185" s="110">
        <v>2665.2</v>
      </c>
      <c r="L185" s="155">
        <v>145</v>
      </c>
      <c r="M185" s="153" t="s">
        <v>272</v>
      </c>
      <c r="N185" s="156" t="s">
        <v>274</v>
      </c>
      <c r="O185" s="110">
        <v>1114586.8</v>
      </c>
      <c r="P185" s="110">
        <f t="shared" si="22"/>
        <v>317.64564393399644</v>
      </c>
      <c r="Q185" s="110">
        <v>689.15728575906974</v>
      </c>
    </row>
    <row r="186" spans="1:17" ht="35.25" x14ac:dyDescent="0.5">
      <c r="B186" s="152" t="s">
        <v>884</v>
      </c>
      <c r="C186" s="157"/>
      <c r="D186" s="153" t="s">
        <v>794</v>
      </c>
      <c r="E186" s="153" t="s">
        <v>794</v>
      </c>
      <c r="F186" s="154" t="s">
        <v>794</v>
      </c>
      <c r="G186" s="153" t="s">
        <v>794</v>
      </c>
      <c r="H186" s="153" t="s">
        <v>794</v>
      </c>
      <c r="I186" s="110">
        <f>I187</f>
        <v>719.4</v>
      </c>
      <c r="J186" s="110">
        <f t="shared" ref="J186:L186" si="26">J187</f>
        <v>531.6</v>
      </c>
      <c r="K186" s="110">
        <f t="shared" si="26"/>
        <v>471.6</v>
      </c>
      <c r="L186" s="155">
        <f t="shared" si="26"/>
        <v>30</v>
      </c>
      <c r="M186" s="153" t="s">
        <v>934</v>
      </c>
      <c r="N186" s="153" t="s">
        <v>934</v>
      </c>
      <c r="O186" s="110">
        <v>40586.949999999997</v>
      </c>
      <c r="P186" s="110">
        <f t="shared" si="22"/>
        <v>56.41777870447595</v>
      </c>
      <c r="Q186" s="110">
        <f>Q187</f>
        <v>5470.6623019182653</v>
      </c>
    </row>
    <row r="187" spans="1:17" ht="35.25" x14ac:dyDescent="0.5">
      <c r="A187" s="6">
        <v>1</v>
      </c>
      <c r="B187" s="96">
        <f>SUBTOTAL(103,$A$65:A187)</f>
        <v>101</v>
      </c>
      <c r="C187" s="157" t="s">
        <v>1585</v>
      </c>
      <c r="D187" s="153">
        <v>1975</v>
      </c>
      <c r="E187" s="153"/>
      <c r="F187" s="154" t="s">
        <v>273</v>
      </c>
      <c r="G187" s="153">
        <v>2</v>
      </c>
      <c r="H187" s="153">
        <v>2</v>
      </c>
      <c r="I187" s="110">
        <v>719.4</v>
      </c>
      <c r="J187" s="110">
        <v>531.6</v>
      </c>
      <c r="K187" s="110">
        <v>471.6</v>
      </c>
      <c r="L187" s="155">
        <v>30</v>
      </c>
      <c r="M187" s="153" t="s">
        <v>272</v>
      </c>
      <c r="N187" s="156" t="s">
        <v>274</v>
      </c>
      <c r="O187" s="110">
        <v>40586.949999999997</v>
      </c>
      <c r="P187" s="110">
        <f t="shared" si="22"/>
        <v>56.41777870447595</v>
      </c>
      <c r="Q187" s="110">
        <v>5470.6623019182653</v>
      </c>
    </row>
    <row r="188" spans="1:17" ht="35.25" x14ac:dyDescent="0.5">
      <c r="B188" s="152" t="s">
        <v>899</v>
      </c>
      <c r="C188" s="157"/>
      <c r="D188" s="153" t="s">
        <v>794</v>
      </c>
      <c r="E188" s="153" t="s">
        <v>794</v>
      </c>
      <c r="F188" s="154" t="s">
        <v>794</v>
      </c>
      <c r="G188" s="153" t="s">
        <v>794</v>
      </c>
      <c r="H188" s="153" t="s">
        <v>794</v>
      </c>
      <c r="I188" s="110">
        <f>I189</f>
        <v>930</v>
      </c>
      <c r="J188" s="110">
        <f t="shared" ref="J188:L188" si="27">J189</f>
        <v>857.4</v>
      </c>
      <c r="K188" s="110">
        <f t="shared" si="27"/>
        <v>561.4</v>
      </c>
      <c r="L188" s="155">
        <f t="shared" si="27"/>
        <v>45</v>
      </c>
      <c r="M188" s="153" t="s">
        <v>934</v>
      </c>
      <c r="N188" s="153" t="s">
        <v>934</v>
      </c>
      <c r="O188" s="110">
        <v>48720</v>
      </c>
      <c r="P188" s="110">
        <f t="shared" si="22"/>
        <v>52.387096774193552</v>
      </c>
      <c r="Q188" s="110">
        <f>Q189</f>
        <v>4953.3769032258069</v>
      </c>
    </row>
    <row r="189" spans="1:17" ht="35.25" x14ac:dyDescent="0.5">
      <c r="A189" s="6">
        <v>1</v>
      </c>
      <c r="B189" s="96">
        <f>SUBTOTAL(103,$A$65:A189)</f>
        <v>102</v>
      </c>
      <c r="C189" s="157" t="s">
        <v>1586</v>
      </c>
      <c r="D189" s="153">
        <v>1973</v>
      </c>
      <c r="E189" s="153"/>
      <c r="F189" s="154" t="s">
        <v>273</v>
      </c>
      <c r="G189" s="153">
        <v>2</v>
      </c>
      <c r="H189" s="153">
        <v>3</v>
      </c>
      <c r="I189" s="110">
        <v>930</v>
      </c>
      <c r="J189" s="110">
        <v>857.4</v>
      </c>
      <c r="K189" s="110">
        <v>561.4</v>
      </c>
      <c r="L189" s="155">
        <v>45</v>
      </c>
      <c r="M189" s="153" t="s">
        <v>275</v>
      </c>
      <c r="N189" s="156" t="s">
        <v>286</v>
      </c>
      <c r="O189" s="110">
        <v>48720</v>
      </c>
      <c r="P189" s="110">
        <f t="shared" si="22"/>
        <v>52.387096774193552</v>
      </c>
      <c r="Q189" s="110">
        <v>4953.3769032258069</v>
      </c>
    </row>
    <row r="190" spans="1:17" ht="35.25" x14ac:dyDescent="0.5">
      <c r="B190" s="152" t="s">
        <v>877</v>
      </c>
      <c r="C190" s="157"/>
      <c r="D190" s="153" t="s">
        <v>794</v>
      </c>
      <c r="E190" s="153" t="s">
        <v>794</v>
      </c>
      <c r="F190" s="154" t="s">
        <v>794</v>
      </c>
      <c r="G190" s="153" t="s">
        <v>794</v>
      </c>
      <c r="H190" s="153" t="s">
        <v>794</v>
      </c>
      <c r="I190" s="110">
        <f>I191</f>
        <v>3791.9</v>
      </c>
      <c r="J190" s="110">
        <f t="shared" ref="J190:L190" si="28">J191</f>
        <v>3527</v>
      </c>
      <c r="K190" s="110">
        <f t="shared" si="28"/>
        <v>3291.3</v>
      </c>
      <c r="L190" s="155">
        <f t="shared" si="28"/>
        <v>155</v>
      </c>
      <c r="M190" s="153" t="s">
        <v>934</v>
      </c>
      <c r="N190" s="153" t="s">
        <v>934</v>
      </c>
      <c r="O190" s="110">
        <v>8028.65</v>
      </c>
      <c r="P190" s="110">
        <f t="shared" si="22"/>
        <v>2.1173158574856932</v>
      </c>
      <c r="Q190" s="110">
        <f>Q191</f>
        <v>1564.9736374904403</v>
      </c>
    </row>
    <row r="191" spans="1:17" ht="35.25" x14ac:dyDescent="0.5">
      <c r="A191" s="6">
        <v>1</v>
      </c>
      <c r="B191" s="96">
        <f>SUBTOTAL(103,$A$65:A191)</f>
        <v>103</v>
      </c>
      <c r="C191" s="157" t="s">
        <v>1594</v>
      </c>
      <c r="D191" s="153">
        <v>1973</v>
      </c>
      <c r="E191" s="153" t="s">
        <v>1627</v>
      </c>
      <c r="F191" s="154" t="s">
        <v>319</v>
      </c>
      <c r="G191" s="153">
        <v>5</v>
      </c>
      <c r="H191" s="153">
        <v>4</v>
      </c>
      <c r="I191" s="110">
        <v>3791.9</v>
      </c>
      <c r="J191" s="110">
        <v>3527</v>
      </c>
      <c r="K191" s="110">
        <v>3291.3</v>
      </c>
      <c r="L191" s="155">
        <v>155</v>
      </c>
      <c r="M191" s="153" t="s">
        <v>275</v>
      </c>
      <c r="N191" s="156" t="s">
        <v>853</v>
      </c>
      <c r="O191" s="110">
        <v>8028.65</v>
      </c>
      <c r="P191" s="110">
        <f t="shared" si="22"/>
        <v>2.1173158574856932</v>
      </c>
      <c r="Q191" s="110">
        <v>1564.9736374904403</v>
      </c>
    </row>
    <row r="192" spans="1:17" ht="35.25" x14ac:dyDescent="0.5">
      <c r="B192" s="152" t="s">
        <v>882</v>
      </c>
      <c r="C192" s="157"/>
      <c r="D192" s="153" t="s">
        <v>794</v>
      </c>
      <c r="E192" s="153" t="s">
        <v>794</v>
      </c>
      <c r="F192" s="154" t="s">
        <v>794</v>
      </c>
      <c r="G192" s="153" t="s">
        <v>794</v>
      </c>
      <c r="H192" s="153" t="s">
        <v>794</v>
      </c>
      <c r="I192" s="110">
        <f>I193+I194</f>
        <v>1000</v>
      </c>
      <c r="J192" s="110">
        <f t="shared" ref="J192:L192" si="29">J193+J194</f>
        <v>897</v>
      </c>
      <c r="K192" s="110">
        <f t="shared" si="29"/>
        <v>578</v>
      </c>
      <c r="L192" s="155">
        <f t="shared" si="29"/>
        <v>54</v>
      </c>
      <c r="M192" s="153" t="s">
        <v>934</v>
      </c>
      <c r="N192" s="153" t="s">
        <v>934</v>
      </c>
      <c r="O192" s="110">
        <v>180508.62</v>
      </c>
      <c r="P192" s="110">
        <f t="shared" si="22"/>
        <v>180.50862000000001</v>
      </c>
      <c r="Q192" s="110">
        <f>MAX(Q193:Q194)</f>
        <v>5766.4387692307691</v>
      </c>
    </row>
    <row r="193" spans="1:17" ht="35.25" x14ac:dyDescent="0.5">
      <c r="A193" s="6">
        <v>1</v>
      </c>
      <c r="B193" s="96">
        <f>SUBTOTAL(103,$A$65:A193)</f>
        <v>104</v>
      </c>
      <c r="C193" s="157" t="s">
        <v>1595</v>
      </c>
      <c r="D193" s="153">
        <v>1967</v>
      </c>
      <c r="E193" s="153"/>
      <c r="F193" s="154" t="s">
        <v>273</v>
      </c>
      <c r="G193" s="153">
        <v>2</v>
      </c>
      <c r="H193" s="153">
        <v>2</v>
      </c>
      <c r="I193" s="110">
        <v>610</v>
      </c>
      <c r="J193" s="110">
        <v>558</v>
      </c>
      <c r="K193" s="110">
        <v>380.7</v>
      </c>
      <c r="L193" s="155">
        <v>33</v>
      </c>
      <c r="M193" s="153" t="s">
        <v>272</v>
      </c>
      <c r="N193" s="156" t="s">
        <v>274</v>
      </c>
      <c r="O193" s="110">
        <v>103408.2</v>
      </c>
      <c r="P193" s="110">
        <f t="shared" ref="P193:P196" si="30">O193/I193</f>
        <v>169.5216393442623</v>
      </c>
      <c r="Q193" s="110">
        <v>5718.4105245901637</v>
      </c>
    </row>
    <row r="194" spans="1:17" ht="35.25" x14ac:dyDescent="0.5">
      <c r="A194" s="6">
        <v>1</v>
      </c>
      <c r="B194" s="96">
        <f>SUBTOTAL(103,$A$65:A194)</f>
        <v>105</v>
      </c>
      <c r="C194" s="157" t="s">
        <v>1596</v>
      </c>
      <c r="D194" s="153">
        <v>1965</v>
      </c>
      <c r="E194" s="153"/>
      <c r="F194" s="154" t="s">
        <v>273</v>
      </c>
      <c r="G194" s="153">
        <v>2</v>
      </c>
      <c r="H194" s="153">
        <v>2</v>
      </c>
      <c r="I194" s="110">
        <v>390</v>
      </c>
      <c r="J194" s="110">
        <v>339</v>
      </c>
      <c r="K194" s="110">
        <v>197.3</v>
      </c>
      <c r="L194" s="155">
        <v>21</v>
      </c>
      <c r="M194" s="153" t="s">
        <v>272</v>
      </c>
      <c r="N194" s="156" t="s">
        <v>274</v>
      </c>
      <c r="O194" s="110">
        <v>77100.42</v>
      </c>
      <c r="P194" s="110">
        <f t="shared" si="30"/>
        <v>197.69338461538462</v>
      </c>
      <c r="Q194" s="110">
        <v>5766.4387692307691</v>
      </c>
    </row>
    <row r="195" spans="1:17" ht="35.25" x14ac:dyDescent="0.5">
      <c r="B195" s="152" t="s">
        <v>1112</v>
      </c>
      <c r="C195" s="157"/>
      <c r="D195" s="153" t="s">
        <v>794</v>
      </c>
      <c r="E195" s="153" t="s">
        <v>794</v>
      </c>
      <c r="F195" s="154" t="s">
        <v>794</v>
      </c>
      <c r="G195" s="153" t="s">
        <v>794</v>
      </c>
      <c r="H195" s="153" t="s">
        <v>794</v>
      </c>
      <c r="I195" s="110">
        <f>I196</f>
        <v>1707.6</v>
      </c>
      <c r="J195" s="110">
        <f t="shared" ref="J195:L195" si="31">J196</f>
        <v>1346.4</v>
      </c>
      <c r="K195" s="110">
        <f t="shared" si="31"/>
        <v>1242.0999999999999</v>
      </c>
      <c r="L195" s="155">
        <f t="shared" si="31"/>
        <v>83</v>
      </c>
      <c r="M195" s="153" t="s">
        <v>794</v>
      </c>
      <c r="N195" s="153"/>
      <c r="O195" s="110">
        <v>10150</v>
      </c>
      <c r="P195" s="110">
        <f t="shared" si="30"/>
        <v>5.9440149918013585</v>
      </c>
      <c r="Q195" s="110">
        <f>Q196</f>
        <v>1313.71</v>
      </c>
    </row>
    <row r="196" spans="1:17" ht="35.25" x14ac:dyDescent="0.5">
      <c r="A196" s="6">
        <v>1</v>
      </c>
      <c r="B196" s="96">
        <f>SUBTOTAL(103,$A$65:A196)</f>
        <v>106</v>
      </c>
      <c r="C196" s="157" t="s">
        <v>1694</v>
      </c>
      <c r="D196" s="153">
        <v>1985</v>
      </c>
      <c r="E196" s="153"/>
      <c r="F196" s="154" t="s">
        <v>273</v>
      </c>
      <c r="G196" s="153">
        <v>5</v>
      </c>
      <c r="H196" s="153">
        <v>1</v>
      </c>
      <c r="I196" s="110">
        <v>1707.6</v>
      </c>
      <c r="J196" s="110">
        <v>1346.4</v>
      </c>
      <c r="K196" s="110">
        <v>1242.0999999999999</v>
      </c>
      <c r="L196" s="155">
        <v>83</v>
      </c>
      <c r="M196" s="153" t="s">
        <v>275</v>
      </c>
      <c r="N196" s="156" t="s">
        <v>1699</v>
      </c>
      <c r="O196" s="110">
        <v>10150</v>
      </c>
      <c r="P196" s="110">
        <f t="shared" si="30"/>
        <v>5.9440149918013585</v>
      </c>
      <c r="Q196" s="110">
        <v>1313.71</v>
      </c>
    </row>
    <row r="203" spans="1:17" ht="33" x14ac:dyDescent="0.45">
      <c r="C203" s="159"/>
    </row>
  </sheetData>
  <mergeCells count="23">
    <mergeCell ref="B62:Q62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  <mergeCell ref="B9:Q9"/>
    <mergeCell ref="J4:K4"/>
    <mergeCell ref="L4:L6"/>
    <mergeCell ref="M4:M7"/>
    <mergeCell ref="N4:N7"/>
    <mergeCell ref="O4:O6"/>
    <mergeCell ref="P4:P6"/>
    <mergeCell ref="Q4:Q6"/>
    <mergeCell ref="D5:D7"/>
    <mergeCell ref="E5:E7"/>
    <mergeCell ref="J5:J6"/>
    <mergeCell ref="K5:K6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zoomScale="60" zoomScaleNormal="60" workbookViewId="0">
      <selection activeCell="F56" sqref="A1:F56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46"/>
      <c r="D1" s="267" t="s">
        <v>1127</v>
      </c>
      <c r="E1" s="267"/>
      <c r="F1" s="267"/>
    </row>
    <row r="2" spans="1:6" ht="53.25" customHeight="1" x14ac:dyDescent="0.25">
      <c r="C2" s="269" t="s">
        <v>1117</v>
      </c>
      <c r="D2" s="269"/>
      <c r="E2" s="269"/>
      <c r="F2" s="269"/>
    </row>
    <row r="3" spans="1:6" ht="104.25" customHeight="1" x14ac:dyDescent="0.25">
      <c r="A3" s="270" t="s">
        <v>1128</v>
      </c>
      <c r="B3" s="270"/>
      <c r="C3" s="270"/>
      <c r="D3" s="270"/>
      <c r="E3" s="270"/>
      <c r="F3" s="270"/>
    </row>
    <row r="4" spans="1:6" x14ac:dyDescent="0.25">
      <c r="A4" s="271" t="s">
        <v>6</v>
      </c>
      <c r="B4" s="271" t="s">
        <v>786</v>
      </c>
      <c r="C4" s="268" t="s">
        <v>787</v>
      </c>
      <c r="D4" s="268" t="s">
        <v>1129</v>
      </c>
      <c r="E4" s="268" t="s">
        <v>789</v>
      </c>
      <c r="F4" s="268" t="s">
        <v>790</v>
      </c>
    </row>
    <row r="5" spans="1:6" ht="156.75" customHeight="1" x14ac:dyDescent="0.25">
      <c r="A5" s="272"/>
      <c r="B5" s="272"/>
      <c r="C5" s="273"/>
      <c r="D5" s="268"/>
      <c r="E5" s="268"/>
      <c r="F5" s="268"/>
    </row>
    <row r="6" spans="1:6" ht="23.25" x14ac:dyDescent="0.25">
      <c r="A6" s="272"/>
      <c r="B6" s="272"/>
      <c r="C6" s="47" t="s">
        <v>791</v>
      </c>
      <c r="D6" s="47" t="s">
        <v>269</v>
      </c>
      <c r="E6" s="47" t="s">
        <v>37</v>
      </c>
      <c r="F6" s="47" t="s">
        <v>36</v>
      </c>
    </row>
    <row r="7" spans="1:6" ht="23.25" x14ac:dyDescent="0.35">
      <c r="A7" s="48">
        <v>1</v>
      </c>
      <c r="B7" s="48">
        <v>2</v>
      </c>
      <c r="C7" s="48">
        <v>3</v>
      </c>
      <c r="D7" s="48">
        <v>4</v>
      </c>
      <c r="E7" s="49">
        <v>5</v>
      </c>
      <c r="F7" s="49">
        <v>6</v>
      </c>
    </row>
    <row r="8" spans="1:6" ht="74.25" customHeight="1" x14ac:dyDescent="0.25">
      <c r="A8" s="264" t="s">
        <v>1081</v>
      </c>
      <c r="B8" s="265"/>
      <c r="C8" s="265"/>
      <c r="D8" s="265"/>
      <c r="E8" s="265"/>
      <c r="F8" s="266"/>
    </row>
    <row r="9" spans="1:6" ht="23.25" x14ac:dyDescent="0.35">
      <c r="A9" s="48"/>
      <c r="B9" s="50" t="s">
        <v>1130</v>
      </c>
      <c r="C9" s="51">
        <f>SUM(C10:C27)</f>
        <v>30909.18</v>
      </c>
      <c r="D9" s="89">
        <f t="shared" ref="D9:F9" si="0">SUM(D10:D27)</f>
        <v>1298</v>
      </c>
      <c r="E9" s="52">
        <f t="shared" si="0"/>
        <v>33</v>
      </c>
      <c r="F9" s="51">
        <f t="shared" si="0"/>
        <v>81923279.867684737</v>
      </c>
    </row>
    <row r="10" spans="1:6" ht="23.25" x14ac:dyDescent="0.35">
      <c r="A10" s="48">
        <v>1</v>
      </c>
      <c r="B10" s="53" t="s">
        <v>940</v>
      </c>
      <c r="C10" s="54">
        <v>792.7</v>
      </c>
      <c r="D10" s="52">
        <v>42</v>
      </c>
      <c r="E10" s="52">
        <v>1</v>
      </c>
      <c r="F10" s="55">
        <v>2780000</v>
      </c>
    </row>
    <row r="11" spans="1:6" ht="23.25" x14ac:dyDescent="0.35">
      <c r="A11" s="48">
        <v>2</v>
      </c>
      <c r="B11" s="53" t="s">
        <v>1438</v>
      </c>
      <c r="C11" s="54">
        <v>10686.5</v>
      </c>
      <c r="D11" s="52">
        <v>373</v>
      </c>
      <c r="E11" s="52">
        <v>8</v>
      </c>
      <c r="F11" s="55">
        <v>21280025.006305423</v>
      </c>
    </row>
    <row r="12" spans="1:6" ht="23.25" x14ac:dyDescent="0.35">
      <c r="A12" s="48">
        <v>3</v>
      </c>
      <c r="B12" s="53" t="s">
        <v>944</v>
      </c>
      <c r="C12" s="54">
        <v>882.3</v>
      </c>
      <c r="D12" s="52">
        <v>29</v>
      </c>
      <c r="E12" s="52">
        <v>1</v>
      </c>
      <c r="F12" s="55">
        <v>1376400</v>
      </c>
    </row>
    <row r="13" spans="1:6" ht="23.25" x14ac:dyDescent="0.35">
      <c r="A13" s="48">
        <v>4</v>
      </c>
      <c r="B13" s="53" t="s">
        <v>949</v>
      </c>
      <c r="C13" s="54">
        <v>1813.2</v>
      </c>
      <c r="D13" s="52">
        <v>156</v>
      </c>
      <c r="E13" s="52">
        <v>1</v>
      </c>
      <c r="F13" s="55">
        <v>6235729.1299999999</v>
      </c>
    </row>
    <row r="14" spans="1:6" ht="23.25" x14ac:dyDescent="0.35">
      <c r="A14" s="48">
        <v>5</v>
      </c>
      <c r="B14" s="53" t="s">
        <v>950</v>
      </c>
      <c r="C14" s="54">
        <v>366.5</v>
      </c>
      <c r="D14" s="52">
        <v>13</v>
      </c>
      <c r="E14" s="52">
        <v>1</v>
      </c>
      <c r="F14" s="55">
        <v>1405440</v>
      </c>
    </row>
    <row r="15" spans="1:6" ht="23.25" x14ac:dyDescent="0.35">
      <c r="A15" s="48">
        <v>6</v>
      </c>
      <c r="B15" s="53" t="s">
        <v>1439</v>
      </c>
      <c r="C15" s="54">
        <v>874.3</v>
      </c>
      <c r="D15" s="52">
        <v>38</v>
      </c>
      <c r="E15" s="52">
        <v>2</v>
      </c>
      <c r="F15" s="55">
        <v>3363253.9701477829</v>
      </c>
    </row>
    <row r="16" spans="1:6" ht="23.25" x14ac:dyDescent="0.35">
      <c r="A16" s="48">
        <v>7</v>
      </c>
      <c r="B16" s="53" t="s">
        <v>959</v>
      </c>
      <c r="C16" s="54">
        <v>845.48</v>
      </c>
      <c r="D16" s="52">
        <v>48</v>
      </c>
      <c r="E16" s="52">
        <v>2</v>
      </c>
      <c r="F16" s="55">
        <v>3465600.02</v>
      </c>
    </row>
    <row r="17" spans="1:6" ht="23.25" x14ac:dyDescent="0.35">
      <c r="A17" s="48">
        <v>8</v>
      </c>
      <c r="B17" s="53" t="s">
        <v>993</v>
      </c>
      <c r="C17" s="54">
        <v>2093.1</v>
      </c>
      <c r="D17" s="52">
        <v>110</v>
      </c>
      <c r="E17" s="52">
        <v>3</v>
      </c>
      <c r="F17" s="55">
        <v>5920666.21</v>
      </c>
    </row>
    <row r="18" spans="1:6" ht="23.25" x14ac:dyDescent="0.35">
      <c r="A18" s="48">
        <v>9</v>
      </c>
      <c r="B18" s="53" t="s">
        <v>964</v>
      </c>
      <c r="C18" s="54">
        <v>755.8</v>
      </c>
      <c r="D18" s="52">
        <v>20</v>
      </c>
      <c r="E18" s="52">
        <v>1</v>
      </c>
      <c r="F18" s="55">
        <v>2154384</v>
      </c>
    </row>
    <row r="19" spans="1:6" ht="23.25" x14ac:dyDescent="0.35">
      <c r="A19" s="48">
        <v>10</v>
      </c>
      <c r="B19" s="53" t="s">
        <v>967</v>
      </c>
      <c r="C19" s="54">
        <v>1840.2</v>
      </c>
      <c r="D19" s="52">
        <v>77</v>
      </c>
      <c r="E19" s="52">
        <v>1</v>
      </c>
      <c r="F19" s="55">
        <v>5688174.9500000002</v>
      </c>
    </row>
    <row r="20" spans="1:6" ht="23.25" x14ac:dyDescent="0.35">
      <c r="A20" s="48">
        <v>11</v>
      </c>
      <c r="B20" s="53" t="s">
        <v>1440</v>
      </c>
      <c r="C20" s="54">
        <v>1542</v>
      </c>
      <c r="D20" s="52">
        <v>58</v>
      </c>
      <c r="E20" s="52">
        <v>3</v>
      </c>
      <c r="F20" s="55">
        <v>6998400</v>
      </c>
    </row>
    <row r="21" spans="1:6" ht="23.25" x14ac:dyDescent="0.35">
      <c r="A21" s="48">
        <v>12</v>
      </c>
      <c r="B21" s="53" t="s">
        <v>1441</v>
      </c>
      <c r="C21" s="54">
        <v>970.5</v>
      </c>
      <c r="D21" s="52">
        <v>38</v>
      </c>
      <c r="E21" s="52">
        <v>1</v>
      </c>
      <c r="F21" s="55">
        <v>3834600</v>
      </c>
    </row>
    <row r="22" spans="1:6" ht="23.25" x14ac:dyDescent="0.35">
      <c r="A22" s="48">
        <v>13</v>
      </c>
      <c r="B22" s="53" t="s">
        <v>980</v>
      </c>
      <c r="C22" s="54">
        <v>465</v>
      </c>
      <c r="D22" s="52">
        <v>26</v>
      </c>
      <c r="E22" s="52">
        <v>1</v>
      </c>
      <c r="F22" s="55">
        <v>1692000</v>
      </c>
    </row>
    <row r="23" spans="1:6" ht="23.25" x14ac:dyDescent="0.35">
      <c r="A23" s="48">
        <v>14</v>
      </c>
      <c r="B23" s="53" t="s">
        <v>1008</v>
      </c>
      <c r="C23" s="54">
        <v>943.2</v>
      </c>
      <c r="D23" s="52">
        <v>31</v>
      </c>
      <c r="E23" s="52">
        <v>1</v>
      </c>
      <c r="F23" s="55">
        <v>3696000</v>
      </c>
    </row>
    <row r="24" spans="1:6" ht="23.25" x14ac:dyDescent="0.35">
      <c r="A24" s="48">
        <v>15</v>
      </c>
      <c r="B24" s="53" t="s">
        <v>988</v>
      </c>
      <c r="C24" s="54">
        <v>2249.1999999999998</v>
      </c>
      <c r="D24" s="52">
        <v>104</v>
      </c>
      <c r="E24" s="52">
        <v>3</v>
      </c>
      <c r="F24" s="55">
        <v>5561408.3912315276</v>
      </c>
    </row>
    <row r="25" spans="1:6" ht="23.25" x14ac:dyDescent="0.35">
      <c r="A25" s="48">
        <v>16</v>
      </c>
      <c r="B25" s="53" t="s">
        <v>987</v>
      </c>
      <c r="C25" s="54">
        <v>940.4</v>
      </c>
      <c r="D25" s="52">
        <v>26</v>
      </c>
      <c r="E25" s="52">
        <v>1</v>
      </c>
      <c r="F25" s="55">
        <v>2736000</v>
      </c>
    </row>
    <row r="26" spans="1:6" ht="23.25" x14ac:dyDescent="0.35">
      <c r="A26" s="48">
        <v>17</v>
      </c>
      <c r="B26" s="53" t="s">
        <v>961</v>
      </c>
      <c r="C26" s="54">
        <v>1743.7</v>
      </c>
      <c r="D26" s="52">
        <v>65</v>
      </c>
      <c r="E26" s="52">
        <v>1</v>
      </c>
      <c r="F26" s="55">
        <v>2144509.73</v>
      </c>
    </row>
    <row r="27" spans="1:6" ht="23.25" x14ac:dyDescent="0.35">
      <c r="A27" s="48">
        <v>18</v>
      </c>
      <c r="B27" s="53" t="s">
        <v>956</v>
      </c>
      <c r="C27" s="54">
        <v>1105.0999999999999</v>
      </c>
      <c r="D27" s="52">
        <v>44</v>
      </c>
      <c r="E27" s="52">
        <v>1</v>
      </c>
      <c r="F27" s="55">
        <v>1590688.46</v>
      </c>
    </row>
    <row r="28" spans="1:6" ht="72" customHeight="1" x14ac:dyDescent="0.25">
      <c r="A28" s="264" t="s">
        <v>1483</v>
      </c>
      <c r="B28" s="265"/>
      <c r="C28" s="265"/>
      <c r="D28" s="265"/>
      <c r="E28" s="265"/>
      <c r="F28" s="266"/>
    </row>
    <row r="29" spans="1:6" ht="23.25" x14ac:dyDescent="0.35">
      <c r="A29" s="48"/>
      <c r="B29" s="50" t="s">
        <v>1130</v>
      </c>
      <c r="C29" s="51">
        <f>SUM(C30:C56)</f>
        <v>269513.32</v>
      </c>
      <c r="D29" s="89">
        <f>SUM(D30:D56)</f>
        <v>11346</v>
      </c>
      <c r="E29" s="108">
        <f>SUM(E30:E56)</f>
        <v>106</v>
      </c>
      <c r="F29" s="51">
        <f>SUM(F30:F56)</f>
        <v>44015453.809999995</v>
      </c>
    </row>
    <row r="30" spans="1:6" ht="23.25" x14ac:dyDescent="0.35">
      <c r="A30" s="48">
        <v>1</v>
      </c>
      <c r="B30" s="53" t="s">
        <v>940</v>
      </c>
      <c r="C30" s="54">
        <v>13682.619999999999</v>
      </c>
      <c r="D30" s="89">
        <v>744</v>
      </c>
      <c r="E30" s="108">
        <v>6</v>
      </c>
      <c r="F30" s="55">
        <v>4055618.86</v>
      </c>
    </row>
    <row r="31" spans="1:6" ht="23.25" x14ac:dyDescent="0.35">
      <c r="A31" s="48">
        <v>2</v>
      </c>
      <c r="B31" s="53" t="s">
        <v>944</v>
      </c>
      <c r="C31" s="54">
        <v>1994.9</v>
      </c>
      <c r="D31" s="89">
        <v>91</v>
      </c>
      <c r="E31" s="108">
        <v>2</v>
      </c>
      <c r="F31" s="55">
        <v>36746.29</v>
      </c>
    </row>
    <row r="32" spans="1:6" ht="23.25" x14ac:dyDescent="0.35">
      <c r="A32" s="48">
        <v>3</v>
      </c>
      <c r="B32" s="53" t="s">
        <v>1438</v>
      </c>
      <c r="C32" s="54">
        <v>25751.239999999998</v>
      </c>
      <c r="D32" s="89">
        <v>1014</v>
      </c>
      <c r="E32" s="108">
        <v>16</v>
      </c>
      <c r="F32" s="55">
        <v>1647801.5700000003</v>
      </c>
    </row>
    <row r="33" spans="1:6" ht="23.25" x14ac:dyDescent="0.35">
      <c r="A33" s="48">
        <v>4</v>
      </c>
      <c r="B33" s="53" t="s">
        <v>949</v>
      </c>
      <c r="C33" s="54">
        <v>13339.4</v>
      </c>
      <c r="D33" s="89">
        <v>416</v>
      </c>
      <c r="E33" s="108">
        <v>6</v>
      </c>
      <c r="F33" s="55">
        <v>7687133.0599999996</v>
      </c>
    </row>
    <row r="34" spans="1:6" ht="23.25" x14ac:dyDescent="0.35">
      <c r="A34" s="48">
        <v>5</v>
      </c>
      <c r="B34" s="53" t="s">
        <v>948</v>
      </c>
      <c r="C34" s="54">
        <v>3874.7000000000003</v>
      </c>
      <c r="D34" s="89">
        <v>141</v>
      </c>
      <c r="E34" s="108">
        <v>4</v>
      </c>
      <c r="F34" s="55">
        <v>202477.66</v>
      </c>
    </row>
    <row r="35" spans="1:6" ht="23.25" x14ac:dyDescent="0.35">
      <c r="A35" s="48">
        <v>6</v>
      </c>
      <c r="B35" s="53" t="s">
        <v>993</v>
      </c>
      <c r="C35" s="54">
        <v>57759.219999999994</v>
      </c>
      <c r="D35" s="89">
        <v>1952</v>
      </c>
      <c r="E35" s="108">
        <v>26</v>
      </c>
      <c r="F35" s="55">
        <v>10481252.82</v>
      </c>
    </row>
    <row r="36" spans="1:6" ht="23.25" x14ac:dyDescent="0.35">
      <c r="A36" s="48">
        <v>7</v>
      </c>
      <c r="B36" s="53" t="s">
        <v>1666</v>
      </c>
      <c r="C36" s="54">
        <v>42587.08</v>
      </c>
      <c r="D36" s="89">
        <v>2005</v>
      </c>
      <c r="E36" s="108">
        <v>13</v>
      </c>
      <c r="F36" s="55">
        <v>6084746.6499999994</v>
      </c>
    </row>
    <row r="37" spans="1:6" ht="23.25" x14ac:dyDescent="0.35">
      <c r="A37" s="48">
        <v>8</v>
      </c>
      <c r="B37" s="53" t="s">
        <v>1667</v>
      </c>
      <c r="C37" s="54">
        <v>39280</v>
      </c>
      <c r="D37" s="89">
        <v>1995</v>
      </c>
      <c r="E37" s="108">
        <v>5</v>
      </c>
      <c r="F37" s="55">
        <v>1627513.1600000001</v>
      </c>
    </row>
    <row r="38" spans="1:6" ht="23.25" x14ac:dyDescent="0.35">
      <c r="A38" s="48">
        <v>9</v>
      </c>
      <c r="B38" s="53" t="s">
        <v>947</v>
      </c>
      <c r="C38" s="54">
        <v>6959.2</v>
      </c>
      <c r="D38" s="89">
        <v>259</v>
      </c>
      <c r="E38" s="108">
        <v>2</v>
      </c>
      <c r="F38" s="55">
        <v>3777624.56</v>
      </c>
    </row>
    <row r="39" spans="1:6" ht="23.25" x14ac:dyDescent="0.35">
      <c r="A39" s="48">
        <v>10</v>
      </c>
      <c r="B39" s="53" t="s">
        <v>1668</v>
      </c>
      <c r="C39" s="54">
        <v>978.6</v>
      </c>
      <c r="D39" s="89">
        <v>30</v>
      </c>
      <c r="E39" s="108">
        <v>1</v>
      </c>
      <c r="F39" s="55">
        <v>13131.869999999999</v>
      </c>
    </row>
    <row r="40" spans="1:6" ht="23.25" x14ac:dyDescent="0.35">
      <c r="A40" s="48">
        <v>11</v>
      </c>
      <c r="B40" s="53" t="s">
        <v>1009</v>
      </c>
      <c r="C40" s="54">
        <v>3121</v>
      </c>
      <c r="D40" s="89">
        <v>171</v>
      </c>
      <c r="E40" s="108">
        <v>1</v>
      </c>
      <c r="F40" s="55">
        <v>1031418.23</v>
      </c>
    </row>
    <row r="41" spans="1:6" ht="23.25" x14ac:dyDescent="0.35">
      <c r="A41" s="48">
        <v>12</v>
      </c>
      <c r="B41" s="53" t="s">
        <v>975</v>
      </c>
      <c r="C41" s="54">
        <v>6289.82</v>
      </c>
      <c r="D41" s="89">
        <v>266</v>
      </c>
      <c r="E41" s="108">
        <v>4</v>
      </c>
      <c r="F41" s="55">
        <v>1212193.2</v>
      </c>
    </row>
    <row r="42" spans="1:6" ht="23.25" x14ac:dyDescent="0.35">
      <c r="A42" s="48">
        <v>13</v>
      </c>
      <c r="B42" s="53" t="s">
        <v>956</v>
      </c>
      <c r="C42" s="54">
        <v>5085.1000000000004</v>
      </c>
      <c r="D42" s="89">
        <v>199</v>
      </c>
      <c r="E42" s="108">
        <v>1</v>
      </c>
      <c r="F42" s="55">
        <v>596858.56999999995</v>
      </c>
    </row>
    <row r="43" spans="1:6" ht="23.25" x14ac:dyDescent="0.35">
      <c r="A43" s="48">
        <v>14</v>
      </c>
      <c r="B43" s="53" t="s">
        <v>959</v>
      </c>
      <c r="C43" s="54">
        <v>3387.86</v>
      </c>
      <c r="D43" s="89">
        <v>59</v>
      </c>
      <c r="E43" s="108">
        <v>1</v>
      </c>
      <c r="F43" s="55">
        <v>316888.5</v>
      </c>
    </row>
    <row r="44" spans="1:6" ht="23.25" x14ac:dyDescent="0.35">
      <c r="A44" s="48">
        <v>15</v>
      </c>
      <c r="B44" s="53" t="s">
        <v>1669</v>
      </c>
      <c r="C44" s="54">
        <v>15972.619999999999</v>
      </c>
      <c r="D44" s="89">
        <v>615</v>
      </c>
      <c r="E44" s="108">
        <v>2</v>
      </c>
      <c r="F44" s="55">
        <v>1988549.43</v>
      </c>
    </row>
    <row r="45" spans="1:6" ht="23.25" x14ac:dyDescent="0.35">
      <c r="A45" s="48">
        <v>16</v>
      </c>
      <c r="B45" s="53" t="s">
        <v>974</v>
      </c>
      <c r="C45" s="54">
        <v>2614.9</v>
      </c>
      <c r="D45" s="89">
        <v>148</v>
      </c>
      <c r="E45" s="108">
        <v>2</v>
      </c>
      <c r="F45" s="55">
        <v>753140.14999999991</v>
      </c>
    </row>
    <row r="46" spans="1:6" ht="23.25" x14ac:dyDescent="0.35">
      <c r="A46" s="48">
        <v>17</v>
      </c>
      <c r="B46" s="53" t="s">
        <v>1008</v>
      </c>
      <c r="C46" s="54">
        <v>677.1</v>
      </c>
      <c r="D46" s="89">
        <v>37</v>
      </c>
      <c r="E46" s="108">
        <v>1</v>
      </c>
      <c r="F46" s="55">
        <v>39585</v>
      </c>
    </row>
    <row r="47" spans="1:6" ht="23.25" x14ac:dyDescent="0.35">
      <c r="A47" s="48">
        <v>18</v>
      </c>
      <c r="B47" s="53" t="s">
        <v>951</v>
      </c>
      <c r="C47" s="54">
        <v>805.6</v>
      </c>
      <c r="D47" s="89">
        <v>44</v>
      </c>
      <c r="E47" s="108">
        <v>1</v>
      </c>
      <c r="F47" s="55">
        <v>275468.56</v>
      </c>
    </row>
    <row r="48" spans="1:6" ht="23.25" x14ac:dyDescent="0.35">
      <c r="A48" s="48">
        <v>19</v>
      </c>
      <c r="B48" s="53" t="s">
        <v>1006</v>
      </c>
      <c r="C48" s="54">
        <v>12931.86</v>
      </c>
      <c r="D48" s="89">
        <v>621</v>
      </c>
      <c r="E48" s="108">
        <v>3</v>
      </c>
      <c r="F48" s="55">
        <v>274179.65000000002</v>
      </c>
    </row>
    <row r="49" spans="1:6" ht="23.25" x14ac:dyDescent="0.35">
      <c r="A49" s="48">
        <v>20</v>
      </c>
      <c r="B49" s="53" t="s">
        <v>1443</v>
      </c>
      <c r="C49" s="54">
        <v>418.1</v>
      </c>
      <c r="D49" s="89">
        <v>12</v>
      </c>
      <c r="E49" s="108">
        <v>1</v>
      </c>
      <c r="F49" s="55">
        <v>273035</v>
      </c>
    </row>
    <row r="50" spans="1:6" ht="23.25" x14ac:dyDescent="0.35">
      <c r="A50" s="48">
        <v>21</v>
      </c>
      <c r="B50" s="53" t="s">
        <v>1015</v>
      </c>
      <c r="C50" s="54">
        <v>344.6</v>
      </c>
      <c r="D50" s="89">
        <v>15</v>
      </c>
      <c r="E50" s="108">
        <v>1</v>
      </c>
      <c r="F50" s="55">
        <v>237510</v>
      </c>
    </row>
    <row r="51" spans="1:6" ht="23.25" x14ac:dyDescent="0.35">
      <c r="A51" s="48">
        <v>22</v>
      </c>
      <c r="B51" s="53" t="s">
        <v>963</v>
      </c>
      <c r="C51" s="54">
        <v>3508.9</v>
      </c>
      <c r="D51" s="89">
        <v>145</v>
      </c>
      <c r="E51" s="108">
        <v>1</v>
      </c>
      <c r="F51" s="55">
        <v>1114586.8</v>
      </c>
    </row>
    <row r="52" spans="1:6" ht="23.25" x14ac:dyDescent="0.35">
      <c r="A52" s="48">
        <v>23</v>
      </c>
      <c r="B52" s="53" t="s">
        <v>970</v>
      </c>
      <c r="C52" s="54">
        <v>719.4</v>
      </c>
      <c r="D52" s="89">
        <v>30</v>
      </c>
      <c r="E52" s="108">
        <v>1</v>
      </c>
      <c r="F52" s="55">
        <v>40586.949999999997</v>
      </c>
    </row>
    <row r="53" spans="1:6" ht="23.25" x14ac:dyDescent="0.35">
      <c r="A53" s="48">
        <v>24</v>
      </c>
      <c r="B53" s="53" t="s">
        <v>986</v>
      </c>
      <c r="C53" s="54">
        <v>930</v>
      </c>
      <c r="D53" s="89">
        <v>45</v>
      </c>
      <c r="E53" s="108">
        <v>1</v>
      </c>
      <c r="F53" s="55">
        <v>48720</v>
      </c>
    </row>
    <row r="54" spans="1:6" ht="23.25" x14ac:dyDescent="0.35">
      <c r="A54" s="48">
        <v>25</v>
      </c>
      <c r="B54" s="53" t="s">
        <v>961</v>
      </c>
      <c r="C54" s="54">
        <v>3791.9</v>
      </c>
      <c r="D54" s="89">
        <v>155</v>
      </c>
      <c r="E54" s="108">
        <v>1</v>
      </c>
      <c r="F54" s="55">
        <v>8028.65</v>
      </c>
    </row>
    <row r="55" spans="1:6" ht="23.25" x14ac:dyDescent="0.35">
      <c r="A55" s="48">
        <v>26</v>
      </c>
      <c r="B55" s="53" t="s">
        <v>965</v>
      </c>
      <c r="C55" s="54">
        <v>1000</v>
      </c>
      <c r="D55" s="89">
        <v>54</v>
      </c>
      <c r="E55" s="108">
        <v>2</v>
      </c>
      <c r="F55" s="55">
        <v>180508.62</v>
      </c>
    </row>
    <row r="56" spans="1:6" ht="23.25" x14ac:dyDescent="0.35">
      <c r="A56" s="48">
        <v>27</v>
      </c>
      <c r="B56" s="53" t="s">
        <v>1439</v>
      </c>
      <c r="C56" s="54">
        <v>1707.6</v>
      </c>
      <c r="D56" s="89">
        <v>83</v>
      </c>
      <c r="E56" s="108">
        <v>1</v>
      </c>
      <c r="F56" s="55">
        <v>10150</v>
      </c>
    </row>
  </sheetData>
  <mergeCells count="11">
    <mergeCell ref="A28:F28"/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2020-03-05T09:34:45Z</cp:lastPrinted>
  <dcterms:created xsi:type="dcterms:W3CDTF">2019-03-21T15:19:46Z</dcterms:created>
  <dcterms:modified xsi:type="dcterms:W3CDTF">2020-03-05T14:24:51Z</dcterms:modified>
</cp:coreProperties>
</file>