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19440" windowHeight="15600" tabRatio="691" activeTab="3"/>
  </bookViews>
  <sheets>
    <sheet name="Реестр_бонусы" sheetId="8" r:id="rId1"/>
    <sheet name="Перечень_бонусы" sheetId="13" r:id="rId2"/>
    <sheet name="Планируемые показат_бонусы" sheetId="10" r:id="rId3"/>
    <sheet name="Спец.счета КП 2020-2022" sheetId="12" r:id="rId4"/>
  </sheets>
  <definedNames>
    <definedName name="_xlnm._FilterDatabase" localSheetId="1" hidden="1">Перечень_бонусы!$A$12:$Q$242</definedName>
    <definedName name="_xlnm._FilterDatabase" localSheetId="0" hidden="1">Реестр_бонусы!$A$13:$AN$242</definedName>
    <definedName name="_xlnm._FilterDatabase" localSheetId="3" hidden="1">'Спец.счета КП 2020-2022'!$A$11:$AB$486</definedName>
    <definedName name="_xlnm.Print_Area" localSheetId="3">'Спец.счета КП 2020-2022'!$A$1:$AB$486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6" i="12"/>
  <c r="B486"/>
  <c r="D485"/>
  <c r="B485"/>
  <c r="AA484"/>
  <c r="Z484"/>
  <c r="Y484"/>
  <c r="X484"/>
  <c r="W484"/>
  <c r="V484"/>
  <c r="U484"/>
  <c r="T484"/>
  <c r="S484"/>
  <c r="R484"/>
  <c r="Q484"/>
  <c r="P484"/>
  <c r="O484"/>
  <c r="N484"/>
  <c r="M484"/>
  <c r="L484"/>
  <c r="K484"/>
  <c r="J484"/>
  <c r="I484"/>
  <c r="H484"/>
  <c r="G484"/>
  <c r="F484"/>
  <c r="E484"/>
  <c r="D483"/>
  <c r="B483"/>
  <c r="D482"/>
  <c r="B482"/>
  <c r="AA481"/>
  <c r="Z481"/>
  <c r="Y481"/>
  <c r="X481"/>
  <c r="W481"/>
  <c r="V481"/>
  <c r="U481"/>
  <c r="T481"/>
  <c r="S481"/>
  <c r="R481"/>
  <c r="Q481"/>
  <c r="P481"/>
  <c r="O481"/>
  <c r="N481"/>
  <c r="M481"/>
  <c r="L481"/>
  <c r="K481"/>
  <c r="J481"/>
  <c r="I481"/>
  <c r="H481"/>
  <c r="G481"/>
  <c r="F481"/>
  <c r="E481"/>
  <c r="D480"/>
  <c r="B480"/>
  <c r="D479"/>
  <c r="B479"/>
  <c r="D478"/>
  <c r="B478"/>
  <c r="D477"/>
  <c r="B477"/>
  <c r="D476"/>
  <c r="B476"/>
  <c r="D475"/>
  <c r="B475"/>
  <c r="AA474"/>
  <c r="Z474"/>
  <c r="Y474"/>
  <c r="X474"/>
  <c r="W474"/>
  <c r="V474"/>
  <c r="U474"/>
  <c r="T474"/>
  <c r="S474"/>
  <c r="R474"/>
  <c r="Q474"/>
  <c r="P474"/>
  <c r="O474"/>
  <c r="N474"/>
  <c r="M474"/>
  <c r="L474"/>
  <c r="K474"/>
  <c r="J474"/>
  <c r="I474"/>
  <c r="H474"/>
  <c r="G474"/>
  <c r="F474"/>
  <c r="E474"/>
  <c r="D473"/>
  <c r="B473"/>
  <c r="D472"/>
  <c r="B472"/>
  <c r="D471"/>
  <c r="B471"/>
  <c r="D470"/>
  <c r="B470"/>
  <c r="AA469"/>
  <c r="Z469"/>
  <c r="Y469"/>
  <c r="X469"/>
  <c r="W469"/>
  <c r="V469"/>
  <c r="U469"/>
  <c r="T469"/>
  <c r="S469"/>
  <c r="R469"/>
  <c r="Q469"/>
  <c r="P469"/>
  <c r="O469"/>
  <c r="N469"/>
  <c r="M469"/>
  <c r="L469"/>
  <c r="K469"/>
  <c r="J469"/>
  <c r="I469"/>
  <c r="H469"/>
  <c r="G469"/>
  <c r="F469"/>
  <c r="E469"/>
  <c r="D468"/>
  <c r="B468"/>
  <c r="D467"/>
  <c r="B467"/>
  <c r="D466"/>
  <c r="B466"/>
  <c r="AA465"/>
  <c r="AA457" s="1"/>
  <c r="Z465"/>
  <c r="Z457" s="1"/>
  <c r="Y465"/>
  <c r="Y457" s="1"/>
  <c r="X465"/>
  <c r="X457" s="1"/>
  <c r="W465"/>
  <c r="W457" s="1"/>
  <c r="V465"/>
  <c r="V457" s="1"/>
  <c r="U465"/>
  <c r="U457" s="1"/>
  <c r="T465"/>
  <c r="T457" s="1"/>
  <c r="S465"/>
  <c r="S457" s="1"/>
  <c r="R465"/>
  <c r="R457" s="1"/>
  <c r="Q465"/>
  <c r="Q457" s="1"/>
  <c r="P465"/>
  <c r="P457" s="1"/>
  <c r="O465"/>
  <c r="O457" s="1"/>
  <c r="N465"/>
  <c r="N457" s="1"/>
  <c r="M465"/>
  <c r="M457" s="1"/>
  <c r="L465"/>
  <c r="L457" s="1"/>
  <c r="K465"/>
  <c r="K457" s="1"/>
  <c r="J465"/>
  <c r="J457" s="1"/>
  <c r="I465"/>
  <c r="I457" s="1"/>
  <c r="H465"/>
  <c r="H457" s="1"/>
  <c r="G465"/>
  <c r="G457" s="1"/>
  <c r="F465"/>
  <c r="F457" s="1"/>
  <c r="E465"/>
  <c r="D464"/>
  <c r="B464"/>
  <c r="D463"/>
  <c r="B463"/>
  <c r="D462"/>
  <c r="B462"/>
  <c r="D461"/>
  <c r="B461"/>
  <c r="D460"/>
  <c r="B460"/>
  <c r="D459"/>
  <c r="B459"/>
  <c r="D458"/>
  <c r="B458"/>
  <c r="E457"/>
  <c r="D456"/>
  <c r="B456"/>
  <c r="D455"/>
  <c r="B455"/>
  <c r="D454"/>
  <c r="B454"/>
  <c r="AA453"/>
  <c r="Z453"/>
  <c r="Y453"/>
  <c r="X453"/>
  <c r="W453"/>
  <c r="V453"/>
  <c r="U453"/>
  <c r="T453"/>
  <c r="S453"/>
  <c r="R453"/>
  <c r="Q453"/>
  <c r="P453"/>
  <c r="O453"/>
  <c r="N453"/>
  <c r="M453"/>
  <c r="L453"/>
  <c r="K453"/>
  <c r="J453"/>
  <c r="I453"/>
  <c r="H453"/>
  <c r="G453"/>
  <c r="F453"/>
  <c r="E453"/>
  <c r="D452"/>
  <c r="D451" s="1"/>
  <c r="B452"/>
  <c r="AA451"/>
  <c r="Z451"/>
  <c r="Y451"/>
  <c r="X451"/>
  <c r="W451"/>
  <c r="V451"/>
  <c r="U451"/>
  <c r="T451"/>
  <c r="S451"/>
  <c r="R451"/>
  <c r="Q451"/>
  <c r="P451"/>
  <c r="O451"/>
  <c r="N451"/>
  <c r="M451"/>
  <c r="L451"/>
  <c r="K451"/>
  <c r="J451"/>
  <c r="I451"/>
  <c r="H451"/>
  <c r="G451"/>
  <c r="F451"/>
  <c r="E451"/>
  <c r="D450"/>
  <c r="D449" s="1"/>
  <c r="B450"/>
  <c r="AA449"/>
  <c r="Z449"/>
  <c r="Y449"/>
  <c r="X449"/>
  <c r="W449"/>
  <c r="V449"/>
  <c r="U449"/>
  <c r="T449"/>
  <c r="S449"/>
  <c r="R449"/>
  <c r="Q449"/>
  <c r="P449"/>
  <c r="O449"/>
  <c r="N449"/>
  <c r="M449"/>
  <c r="L449"/>
  <c r="K449"/>
  <c r="J449"/>
  <c r="I449"/>
  <c r="H449"/>
  <c r="G449"/>
  <c r="F449"/>
  <c r="E449"/>
  <c r="D448"/>
  <c r="B448"/>
  <c r="D447"/>
  <c r="B447"/>
  <c r="AA446"/>
  <c r="Z446"/>
  <c r="Y446"/>
  <c r="X446"/>
  <c r="W446"/>
  <c r="V446"/>
  <c r="U446"/>
  <c r="T446"/>
  <c r="S446"/>
  <c r="R446"/>
  <c r="Q446"/>
  <c r="P446"/>
  <c r="O446"/>
  <c r="N446"/>
  <c r="M446"/>
  <c r="L446"/>
  <c r="K446"/>
  <c r="J446"/>
  <c r="I446"/>
  <c r="H446"/>
  <c r="G446"/>
  <c r="F446"/>
  <c r="E446"/>
  <c r="D445"/>
  <c r="B445"/>
  <c r="D444"/>
  <c r="B444"/>
  <c r="D443"/>
  <c r="B443"/>
  <c r="AA442"/>
  <c r="Z442"/>
  <c r="Y442"/>
  <c r="X442"/>
  <c r="W442"/>
  <c r="V442"/>
  <c r="U442"/>
  <c r="T442"/>
  <c r="S442"/>
  <c r="R442"/>
  <c r="Q442"/>
  <c r="P442"/>
  <c r="O442"/>
  <c r="N442"/>
  <c r="M442"/>
  <c r="L442"/>
  <c r="K442"/>
  <c r="J442"/>
  <c r="I442"/>
  <c r="H442"/>
  <c r="G442"/>
  <c r="F442"/>
  <c r="E442"/>
  <c r="D441"/>
  <c r="B441"/>
  <c r="D440"/>
  <c r="B440"/>
  <c r="D439"/>
  <c r="B439"/>
  <c r="D438"/>
  <c r="B438"/>
  <c r="D437"/>
  <c r="B437"/>
  <c r="D436"/>
  <c r="B436"/>
  <c r="AA435"/>
  <c r="Z435"/>
  <c r="Y435"/>
  <c r="X435"/>
  <c r="W435"/>
  <c r="V435"/>
  <c r="U435"/>
  <c r="T435"/>
  <c r="S435"/>
  <c r="R435"/>
  <c r="Q435"/>
  <c r="P435"/>
  <c r="O435"/>
  <c r="N435"/>
  <c r="M435"/>
  <c r="L435"/>
  <c r="K435"/>
  <c r="J435"/>
  <c r="I435"/>
  <c r="H435"/>
  <c r="G435"/>
  <c r="F435"/>
  <c r="E435"/>
  <c r="D434"/>
  <c r="B434"/>
  <c r="D433"/>
  <c r="B433"/>
  <c r="D432"/>
  <c r="B432"/>
  <c r="D431"/>
  <c r="B431"/>
  <c r="D430"/>
  <c r="B430"/>
  <c r="D429"/>
  <c r="B429"/>
  <c r="AA428"/>
  <c r="Z428"/>
  <c r="Y428"/>
  <c r="X428"/>
  <c r="W428"/>
  <c r="V428"/>
  <c r="U428"/>
  <c r="T428"/>
  <c r="S428"/>
  <c r="R428"/>
  <c r="Q428"/>
  <c r="P428"/>
  <c r="O428"/>
  <c r="N428"/>
  <c r="M428"/>
  <c r="L428"/>
  <c r="K428"/>
  <c r="J428"/>
  <c r="I428"/>
  <c r="H428"/>
  <c r="G428"/>
  <c r="F428"/>
  <c r="E428"/>
  <c r="D427"/>
  <c r="B427"/>
  <c r="D426"/>
  <c r="B426"/>
  <c r="D425"/>
  <c r="B425"/>
  <c r="D424"/>
  <c r="B424"/>
  <c r="D423"/>
  <c r="B423"/>
  <c r="D422"/>
  <c r="B422"/>
  <c r="D421"/>
  <c r="B421"/>
  <c r="AA420"/>
  <c r="Z420"/>
  <c r="Y420"/>
  <c r="X420"/>
  <c r="W420"/>
  <c r="V420"/>
  <c r="U420"/>
  <c r="T420"/>
  <c r="S420"/>
  <c r="R420"/>
  <c r="Q420"/>
  <c r="P420"/>
  <c r="O420"/>
  <c r="N420"/>
  <c r="M420"/>
  <c r="L420"/>
  <c r="K420"/>
  <c r="J420"/>
  <c r="I420"/>
  <c r="H420"/>
  <c r="G420"/>
  <c r="F420"/>
  <c r="E420"/>
  <c r="D419"/>
  <c r="B419"/>
  <c r="D418"/>
  <c r="B418"/>
  <c r="AA417"/>
  <c r="Z417"/>
  <c r="Y417"/>
  <c r="X417"/>
  <c r="W417"/>
  <c r="V417"/>
  <c r="U417"/>
  <c r="T417"/>
  <c r="S417"/>
  <c r="R417"/>
  <c r="Q417"/>
  <c r="P417"/>
  <c r="O417"/>
  <c r="N417"/>
  <c r="M417"/>
  <c r="L417"/>
  <c r="K417"/>
  <c r="J417"/>
  <c r="I417"/>
  <c r="H417"/>
  <c r="G417"/>
  <c r="F417"/>
  <c r="E417"/>
  <c r="D416"/>
  <c r="D415" s="1"/>
  <c r="B416"/>
  <c r="AA415"/>
  <c r="Z415"/>
  <c r="Y415"/>
  <c r="X415"/>
  <c r="W415"/>
  <c r="V415"/>
  <c r="U415"/>
  <c r="T415"/>
  <c r="S415"/>
  <c r="R415"/>
  <c r="Q415"/>
  <c r="P415"/>
  <c r="O415"/>
  <c r="N415"/>
  <c r="M415"/>
  <c r="L415"/>
  <c r="K415"/>
  <c r="J415"/>
  <c r="I415"/>
  <c r="H415"/>
  <c r="G415"/>
  <c r="F415"/>
  <c r="E415"/>
  <c r="D414"/>
  <c r="D413" s="1"/>
  <c r="B414"/>
  <c r="AA413"/>
  <c r="Z413"/>
  <c r="Y413"/>
  <c r="X413"/>
  <c r="W413"/>
  <c r="V413"/>
  <c r="U413"/>
  <c r="T413"/>
  <c r="S413"/>
  <c r="R413"/>
  <c r="Q413"/>
  <c r="P413"/>
  <c r="O413"/>
  <c r="N413"/>
  <c r="M413"/>
  <c r="L413"/>
  <c r="K413"/>
  <c r="J413"/>
  <c r="I413"/>
  <c r="H413"/>
  <c r="G413"/>
  <c r="F413"/>
  <c r="E413"/>
  <c r="B412"/>
  <c r="D411"/>
  <c r="B411"/>
  <c r="D410"/>
  <c r="B410"/>
  <c r="D409"/>
  <c r="B409"/>
  <c r="D408"/>
  <c r="B408"/>
  <c r="D407"/>
  <c r="B407"/>
  <c r="D406"/>
  <c r="B406"/>
  <c r="D405"/>
  <c r="B405"/>
  <c r="D404"/>
  <c r="B404"/>
  <c r="D403"/>
  <c r="B403"/>
  <c r="D402"/>
  <c r="B402"/>
  <c r="D401"/>
  <c r="B401"/>
  <c r="D400"/>
  <c r="B400"/>
  <c r="D399"/>
  <c r="B399"/>
  <c r="D398"/>
  <c r="B398"/>
  <c r="D397"/>
  <c r="B397"/>
  <c r="D396"/>
  <c r="B396"/>
  <c r="D395"/>
  <c r="B395"/>
  <c r="D394"/>
  <c r="B394"/>
  <c r="D393"/>
  <c r="B393"/>
  <c r="D392"/>
  <c r="B392"/>
  <c r="D391"/>
  <c r="B391"/>
  <c r="D390"/>
  <c r="B390"/>
  <c r="B389"/>
  <c r="B388"/>
  <c r="B387"/>
  <c r="D386"/>
  <c r="B386"/>
  <c r="D385"/>
  <c r="B385"/>
  <c r="D384"/>
  <c r="B384"/>
  <c r="D383"/>
  <c r="B383"/>
  <c r="D382"/>
  <c r="B382"/>
  <c r="D381"/>
  <c r="B381"/>
  <c r="D380"/>
  <c r="B380"/>
  <c r="D379"/>
  <c r="B379"/>
  <c r="D378"/>
  <c r="B378"/>
  <c r="D377"/>
  <c r="B377"/>
  <c r="D376"/>
  <c r="B376"/>
  <c r="D375"/>
  <c r="B375"/>
  <c r="D374"/>
  <c r="B374"/>
  <c r="D373"/>
  <c r="B373"/>
  <c r="D372"/>
  <c r="B372"/>
  <c r="D371"/>
  <c r="B371"/>
  <c r="D370"/>
  <c r="B370"/>
  <c r="D369"/>
  <c r="B369"/>
  <c r="AA368"/>
  <c r="Z368"/>
  <c r="Y368"/>
  <c r="X368"/>
  <c r="W368"/>
  <c r="V368"/>
  <c r="U368"/>
  <c r="T368"/>
  <c r="S368"/>
  <c r="R368"/>
  <c r="Q368"/>
  <c r="P368"/>
  <c r="O368"/>
  <c r="N368"/>
  <c r="M368"/>
  <c r="L368"/>
  <c r="K368"/>
  <c r="J368"/>
  <c r="I368"/>
  <c r="H368"/>
  <c r="G368"/>
  <c r="F368"/>
  <c r="E368"/>
  <c r="B367"/>
  <c r="D366"/>
  <c r="B366"/>
  <c r="D365"/>
  <c r="B365"/>
  <c r="D364"/>
  <c r="B364"/>
  <c r="D363"/>
  <c r="B363"/>
  <c r="D362"/>
  <c r="B362"/>
  <c r="D361"/>
  <c r="B361"/>
  <c r="D360"/>
  <c r="B360"/>
  <c r="D359"/>
  <c r="B359"/>
  <c r="D358"/>
  <c r="B358"/>
  <c r="D357"/>
  <c r="B357"/>
  <c r="D356"/>
  <c r="B356"/>
  <c r="D355"/>
  <c r="B355"/>
  <c r="D354"/>
  <c r="B354"/>
  <c r="D353"/>
  <c r="B353"/>
  <c r="D352"/>
  <c r="B352"/>
  <c r="D351"/>
  <c r="B351"/>
  <c r="D350"/>
  <c r="B350"/>
  <c r="D349"/>
  <c r="B349"/>
  <c r="D348"/>
  <c r="B348"/>
  <c r="D347"/>
  <c r="B347"/>
  <c r="D346"/>
  <c r="B346"/>
  <c r="D345"/>
  <c r="B345"/>
  <c r="D344"/>
  <c r="B344"/>
  <c r="D343"/>
  <c r="B343"/>
  <c r="B342"/>
  <c r="D341"/>
  <c r="B341"/>
  <c r="D340"/>
  <c r="B340"/>
  <c r="D339"/>
  <c r="B339"/>
  <c r="D338"/>
  <c r="B338"/>
  <c r="I337"/>
  <c r="B337"/>
  <c r="D336"/>
  <c r="B336"/>
  <c r="AA335"/>
  <c r="Z335"/>
  <c r="Y335"/>
  <c r="X335"/>
  <c r="W335"/>
  <c r="V335"/>
  <c r="U335"/>
  <c r="T335"/>
  <c r="S335"/>
  <c r="R335"/>
  <c r="Q335"/>
  <c r="P335"/>
  <c r="O335"/>
  <c r="N335"/>
  <c r="M335"/>
  <c r="L335"/>
  <c r="K335"/>
  <c r="J335"/>
  <c r="H335"/>
  <c r="G335"/>
  <c r="F335"/>
  <c r="E335"/>
  <c r="D334"/>
  <c r="D333" s="1"/>
  <c r="B334"/>
  <c r="AA333"/>
  <c r="Z333"/>
  <c r="Y333"/>
  <c r="X333"/>
  <c r="W333"/>
  <c r="V333"/>
  <c r="U333"/>
  <c r="T333"/>
  <c r="S333"/>
  <c r="R333"/>
  <c r="Q333"/>
  <c r="P333"/>
  <c r="O333"/>
  <c r="N333"/>
  <c r="M333"/>
  <c r="L333"/>
  <c r="K333"/>
  <c r="J333"/>
  <c r="I333"/>
  <c r="H333"/>
  <c r="G333"/>
  <c r="F333"/>
  <c r="E333"/>
  <c r="D332"/>
  <c r="D331" s="1"/>
  <c r="B332"/>
  <c r="AA331"/>
  <c r="Z331"/>
  <c r="Y331"/>
  <c r="X331"/>
  <c r="W331"/>
  <c r="V331"/>
  <c r="U331"/>
  <c r="T331"/>
  <c r="S331"/>
  <c r="R331"/>
  <c r="Q331"/>
  <c r="P331"/>
  <c r="O331"/>
  <c r="N331"/>
  <c r="M331"/>
  <c r="L331"/>
  <c r="K331"/>
  <c r="J331"/>
  <c r="I331"/>
  <c r="H331"/>
  <c r="G331"/>
  <c r="F331"/>
  <c r="E331"/>
  <c r="D330"/>
  <c r="B330"/>
  <c r="D329"/>
  <c r="B329"/>
  <c r="D328"/>
  <c r="B328"/>
  <c r="D327"/>
  <c r="B327"/>
  <c r="AA326"/>
  <c r="Z326"/>
  <c r="Y326"/>
  <c r="X326"/>
  <c r="W326"/>
  <c r="V326"/>
  <c r="U326"/>
  <c r="T326"/>
  <c r="S326"/>
  <c r="R326"/>
  <c r="Q326"/>
  <c r="P326"/>
  <c r="O326"/>
  <c r="N326"/>
  <c r="M326"/>
  <c r="L326"/>
  <c r="K326"/>
  <c r="J326"/>
  <c r="I326"/>
  <c r="H326"/>
  <c r="G326"/>
  <c r="F326"/>
  <c r="E326"/>
  <c r="D325"/>
  <c r="B325"/>
  <c r="B324"/>
  <c r="D323"/>
  <c r="B323"/>
  <c r="D322"/>
  <c r="B322"/>
  <c r="D321"/>
  <c r="B321"/>
  <c r="D320"/>
  <c r="B320"/>
  <c r="D319"/>
  <c r="B319"/>
  <c r="D318"/>
  <c r="B318"/>
  <c r="D317"/>
  <c r="B317"/>
  <c r="D316"/>
  <c r="B316"/>
  <c r="D315"/>
  <c r="B315"/>
  <c r="D314"/>
  <c r="B314"/>
  <c r="D313"/>
  <c r="B313"/>
  <c r="D312"/>
  <c r="B312"/>
  <c r="D311"/>
  <c r="B311"/>
  <c r="D310"/>
  <c r="B310"/>
  <c r="D309"/>
  <c r="B309"/>
  <c r="D308"/>
  <c r="B308"/>
  <c r="D307"/>
  <c r="B307"/>
  <c r="D306"/>
  <c r="B306"/>
  <c r="D305"/>
  <c r="B305"/>
  <c r="D304"/>
  <c r="B304"/>
  <c r="D303"/>
  <c r="B303"/>
  <c r="D302"/>
  <c r="B302"/>
  <c r="D301"/>
  <c r="B301"/>
  <c r="D300"/>
  <c r="B300"/>
  <c r="D299"/>
  <c r="B299"/>
  <c r="D298"/>
  <c r="B298"/>
  <c r="D297"/>
  <c r="B297"/>
  <c r="D296"/>
  <c r="B296"/>
  <c r="D295"/>
  <c r="B295"/>
  <c r="D294"/>
  <c r="B294"/>
  <c r="D293"/>
  <c r="B293"/>
  <c r="D292"/>
  <c r="B292"/>
  <c r="D291"/>
  <c r="B291"/>
  <c r="D290"/>
  <c r="B290"/>
  <c r="D289"/>
  <c r="B289"/>
  <c r="D288"/>
  <c r="B288"/>
  <c r="D287"/>
  <c r="B287"/>
  <c r="D286"/>
  <c r="B286"/>
  <c r="D285"/>
  <c r="B285"/>
  <c r="D284"/>
  <c r="B284"/>
  <c r="D283"/>
  <c r="B283"/>
  <c r="D282"/>
  <c r="B282"/>
  <c r="D281"/>
  <c r="B281"/>
  <c r="D280"/>
  <c r="B280"/>
  <c r="D279"/>
  <c r="B279"/>
  <c r="D278"/>
  <c r="B278"/>
  <c r="D277"/>
  <c r="B277"/>
  <c r="D276"/>
  <c r="B276"/>
  <c r="D275"/>
  <c r="B275"/>
  <c r="D274"/>
  <c r="B274"/>
  <c r="D273"/>
  <c r="B273"/>
  <c r="D272"/>
  <c r="B272"/>
  <c r="D271"/>
  <c r="B271"/>
  <c r="D270"/>
  <c r="B270"/>
  <c r="D269"/>
  <c r="B269"/>
  <c r="D268"/>
  <c r="B268"/>
  <c r="D267"/>
  <c r="B267"/>
  <c r="D266"/>
  <c r="B266"/>
  <c r="D265"/>
  <c r="B265"/>
  <c r="D264"/>
  <c r="B264"/>
  <c r="D263"/>
  <c r="B263"/>
  <c r="D262"/>
  <c r="B262"/>
  <c r="D261"/>
  <c r="B261"/>
  <c r="D260"/>
  <c r="B260"/>
  <c r="D259"/>
  <c r="B259"/>
  <c r="D258"/>
  <c r="B258"/>
  <c r="D257"/>
  <c r="B257"/>
  <c r="D256"/>
  <c r="B256"/>
  <c r="D255"/>
  <c r="B255"/>
  <c r="D254"/>
  <c r="B254"/>
  <c r="D253"/>
  <c r="B253"/>
  <c r="D252"/>
  <c r="B252"/>
  <c r="D251"/>
  <c r="B251"/>
  <c r="D250"/>
  <c r="B250"/>
  <c r="D249"/>
  <c r="B249"/>
  <c r="D248"/>
  <c r="B248"/>
  <c r="D247"/>
  <c r="B247"/>
  <c r="D246"/>
  <c r="B246"/>
  <c r="D245"/>
  <c r="B245"/>
  <c r="D244"/>
  <c r="B244"/>
  <c r="D243"/>
  <c r="B243"/>
  <c r="D242"/>
  <c r="B242"/>
  <c r="D241"/>
  <c r="B241"/>
  <c r="O240"/>
  <c r="D240" s="1"/>
  <c r="B240"/>
  <c r="M239"/>
  <c r="D239" s="1"/>
  <c r="B239"/>
  <c r="D238"/>
  <c r="B238"/>
  <c r="M237"/>
  <c r="D237" s="1"/>
  <c r="B237"/>
  <c r="D236"/>
  <c r="B236"/>
  <c r="D235"/>
  <c r="B235"/>
  <c r="M234"/>
  <c r="D234" s="1"/>
  <c r="B234"/>
  <c r="D233"/>
  <c r="B233"/>
  <c r="L232"/>
  <c r="B232"/>
  <c r="D231"/>
  <c r="B231"/>
  <c r="M230"/>
  <c r="B230"/>
  <c r="D229"/>
  <c r="B229"/>
  <c r="L228"/>
  <c r="D228" s="1"/>
  <c r="B228"/>
  <c r="D227"/>
  <c r="B227"/>
  <c r="D226"/>
  <c r="B226"/>
  <c r="D225"/>
  <c r="B225"/>
  <c r="L224"/>
  <c r="D224" s="1"/>
  <c r="B224"/>
  <c r="D223"/>
  <c r="B223"/>
  <c r="D222"/>
  <c r="B222"/>
  <c r="M221"/>
  <c r="D221" s="1"/>
  <c r="B221"/>
  <c r="AA220"/>
  <c r="Z220"/>
  <c r="Y220"/>
  <c r="X220"/>
  <c r="W220"/>
  <c r="V220"/>
  <c r="U220"/>
  <c r="T220"/>
  <c r="S220"/>
  <c r="R220"/>
  <c r="Q220"/>
  <c r="P220"/>
  <c r="N220"/>
  <c r="K220"/>
  <c r="J220"/>
  <c r="I220"/>
  <c r="H220"/>
  <c r="G220"/>
  <c r="F220"/>
  <c r="E220"/>
  <c r="D219"/>
  <c r="B219"/>
  <c r="D218"/>
  <c r="B218"/>
  <c r="D217"/>
  <c r="B217"/>
  <c r="D216"/>
  <c r="B216"/>
  <c r="D215"/>
  <c r="B215"/>
  <c r="D214"/>
  <c r="B214"/>
  <c r="D213"/>
  <c r="B213"/>
  <c r="D212"/>
  <c r="B212"/>
  <c r="D211"/>
  <c r="B211"/>
  <c r="D210"/>
  <c r="B210"/>
  <c r="D209"/>
  <c r="B209"/>
  <c r="B208"/>
  <c r="B207"/>
  <c r="B206"/>
  <c r="B205"/>
  <c r="B204"/>
  <c r="D203"/>
  <c r="B203"/>
  <c r="D202"/>
  <c r="B202"/>
  <c r="D201"/>
  <c r="B201"/>
  <c r="AA200"/>
  <c r="Z200"/>
  <c r="Y200"/>
  <c r="X200"/>
  <c r="W200"/>
  <c r="V200"/>
  <c r="U200"/>
  <c r="T200"/>
  <c r="S200"/>
  <c r="R200"/>
  <c r="Q200"/>
  <c r="P200"/>
  <c r="O200"/>
  <c r="N200"/>
  <c r="M200"/>
  <c r="L200"/>
  <c r="K200"/>
  <c r="J200"/>
  <c r="I200"/>
  <c r="H200"/>
  <c r="G200"/>
  <c r="F200"/>
  <c r="E200"/>
  <c r="D199"/>
  <c r="B199"/>
  <c r="D198"/>
  <c r="B198"/>
  <c r="D197"/>
  <c r="B197"/>
  <c r="D196"/>
  <c r="B196"/>
  <c r="D195"/>
  <c r="B195"/>
  <c r="D194"/>
  <c r="B194"/>
  <c r="D193"/>
  <c r="B193"/>
  <c r="D192"/>
  <c r="B192"/>
  <c r="D191"/>
  <c r="B191"/>
  <c r="D190"/>
  <c r="B190"/>
  <c r="D189"/>
  <c r="B189"/>
  <c r="D188"/>
  <c r="B188"/>
  <c r="D187"/>
  <c r="B187"/>
  <c r="D186"/>
  <c r="B186"/>
  <c r="D185"/>
  <c r="B185"/>
  <c r="AA184"/>
  <c r="Z184"/>
  <c r="Y184"/>
  <c r="X184"/>
  <c r="W184"/>
  <c r="V184"/>
  <c r="U184"/>
  <c r="T184"/>
  <c r="S184"/>
  <c r="R184"/>
  <c r="Q184"/>
  <c r="P184"/>
  <c r="O184"/>
  <c r="N184"/>
  <c r="M184"/>
  <c r="L184"/>
  <c r="K184"/>
  <c r="J184"/>
  <c r="I184"/>
  <c r="H184"/>
  <c r="G184"/>
  <c r="F184"/>
  <c r="E184"/>
  <c r="B183"/>
  <c r="D182"/>
  <c r="B182"/>
  <c r="D181"/>
  <c r="B181"/>
  <c r="D180"/>
  <c r="B180"/>
  <c r="D179"/>
  <c r="B179"/>
  <c r="D178"/>
  <c r="B178"/>
  <c r="D177"/>
  <c r="B177"/>
  <c r="D176"/>
  <c r="B176"/>
  <c r="D175"/>
  <c r="B175"/>
  <c r="D174"/>
  <c r="B174"/>
  <c r="D173"/>
  <c r="B173"/>
  <c r="D172"/>
  <c r="B172"/>
  <c r="D171"/>
  <c r="B171"/>
  <c r="D170"/>
  <c r="B170"/>
  <c r="D169"/>
  <c r="B169"/>
  <c r="D168"/>
  <c r="B168"/>
  <c r="D167"/>
  <c r="B167"/>
  <c r="D166"/>
  <c r="B166"/>
  <c r="D165"/>
  <c r="B165"/>
  <c r="D164"/>
  <c r="B164"/>
  <c r="D163"/>
  <c r="B163"/>
  <c r="D162"/>
  <c r="B162"/>
  <c r="D161"/>
  <c r="B161"/>
  <c r="D160"/>
  <c r="B160"/>
  <c r="D159"/>
  <c r="B159"/>
  <c r="D158"/>
  <c r="B158"/>
  <c r="D157"/>
  <c r="B157"/>
  <c r="D156"/>
  <c r="B156"/>
  <c r="D155"/>
  <c r="B155"/>
  <c r="D154"/>
  <c r="B154"/>
  <c r="D153"/>
  <c r="B153"/>
  <c r="D152"/>
  <c r="B152"/>
  <c r="D151"/>
  <c r="B151"/>
  <c r="D150"/>
  <c r="B150"/>
  <c r="D149"/>
  <c r="B149"/>
  <c r="D148"/>
  <c r="B148"/>
  <c r="D147"/>
  <c r="B147"/>
  <c r="D146"/>
  <c r="B146"/>
  <c r="D145"/>
  <c r="B145"/>
  <c r="D144"/>
  <c r="B144"/>
  <c r="D143"/>
  <c r="B143"/>
  <c r="D142"/>
  <c r="B142"/>
  <c r="D141"/>
  <c r="B141"/>
  <c r="D140"/>
  <c r="B140"/>
  <c r="D139"/>
  <c r="B139"/>
  <c r="D138"/>
  <c r="B138"/>
  <c r="D137"/>
  <c r="B137"/>
  <c r="D136"/>
  <c r="B136"/>
  <c r="D135"/>
  <c r="B135"/>
  <c r="D134"/>
  <c r="B134"/>
  <c r="D133"/>
  <c r="B133"/>
  <c r="D132"/>
  <c r="B132"/>
  <c r="D131"/>
  <c r="B131"/>
  <c r="D130"/>
  <c r="B130"/>
  <c r="D129"/>
  <c r="B129"/>
  <c r="D128"/>
  <c r="B128"/>
  <c r="D127"/>
  <c r="B127"/>
  <c r="D126"/>
  <c r="B126"/>
  <c r="D125"/>
  <c r="B125"/>
  <c r="D124"/>
  <c r="B124"/>
  <c r="D123"/>
  <c r="B123"/>
  <c r="D122"/>
  <c r="B122"/>
  <c r="D121"/>
  <c r="B121"/>
  <c r="D120"/>
  <c r="B120"/>
  <c r="D119"/>
  <c r="B119"/>
  <c r="D118"/>
  <c r="B118"/>
  <c r="D117"/>
  <c r="B117"/>
  <c r="D116"/>
  <c r="B116"/>
  <c r="D115"/>
  <c r="B115"/>
  <c r="D114"/>
  <c r="B114"/>
  <c r="D113"/>
  <c r="B113"/>
  <c r="D112"/>
  <c r="B112"/>
  <c r="D111"/>
  <c r="B111"/>
  <c r="D110"/>
  <c r="B110"/>
  <c r="D109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D78"/>
  <c r="B78"/>
  <c r="D77"/>
  <c r="B77"/>
  <c r="D76"/>
  <c r="B76"/>
  <c r="D75"/>
  <c r="B75"/>
  <c r="D74"/>
  <c r="B74"/>
  <c r="D73"/>
  <c r="B73"/>
  <c r="D72"/>
  <c r="B72"/>
  <c r="O71"/>
  <c r="D71" s="1"/>
  <c r="B71"/>
  <c r="D70"/>
  <c r="B70"/>
  <c r="D69"/>
  <c r="B69"/>
  <c r="D68"/>
  <c r="B68"/>
  <c r="D67"/>
  <c r="B67"/>
  <c r="D66"/>
  <c r="B66"/>
  <c r="D65"/>
  <c r="B65"/>
  <c r="D64"/>
  <c r="B64"/>
  <c r="D63"/>
  <c r="B63"/>
  <c r="D62"/>
  <c r="B62"/>
  <c r="D61"/>
  <c r="B61"/>
  <c r="D60"/>
  <c r="B60"/>
  <c r="D59"/>
  <c r="B59"/>
  <c r="D58"/>
  <c r="B58"/>
  <c r="D57"/>
  <c r="B57"/>
  <c r="D56"/>
  <c r="B56"/>
  <c r="D55"/>
  <c r="B55"/>
  <c r="D54"/>
  <c r="B54"/>
  <c r="D53"/>
  <c r="B53"/>
  <c r="D52"/>
  <c r="B52"/>
  <c r="D51"/>
  <c r="B51"/>
  <c r="D50"/>
  <c r="B50"/>
  <c r="D49"/>
  <c r="B49"/>
  <c r="D48"/>
  <c r="B48"/>
  <c r="D47"/>
  <c r="B47"/>
  <c r="D46"/>
  <c r="B46"/>
  <c r="D45"/>
  <c r="B45"/>
  <c r="D44"/>
  <c r="B44"/>
  <c r="N43"/>
  <c r="N12" s="1"/>
  <c r="M43"/>
  <c r="G43"/>
  <c r="B43"/>
  <c r="D42"/>
  <c r="B42"/>
  <c r="D41"/>
  <c r="B41"/>
  <c r="D40"/>
  <c r="B40"/>
  <c r="D39"/>
  <c r="B39"/>
  <c r="D38"/>
  <c r="B38"/>
  <c r="D37"/>
  <c r="B37"/>
  <c r="E36"/>
  <c r="D36" s="1"/>
  <c r="B36"/>
  <c r="D35"/>
  <c r="B35"/>
  <c r="D34"/>
  <c r="B34"/>
  <c r="D33"/>
  <c r="B33"/>
  <c r="D32"/>
  <c r="B32"/>
  <c r="D31"/>
  <c r="B31"/>
  <c r="L30"/>
  <c r="D30" s="1"/>
  <c r="B30"/>
  <c r="G29"/>
  <c r="D29" s="1"/>
  <c r="B29"/>
  <c r="L28"/>
  <c r="D28" s="1"/>
  <c r="B28"/>
  <c r="D27"/>
  <c r="B27"/>
  <c r="D26"/>
  <c r="B26"/>
  <c r="D25"/>
  <c r="B25"/>
  <c r="L24"/>
  <c r="B24"/>
  <c r="D23"/>
  <c r="B23"/>
  <c r="G22"/>
  <c r="D22" s="1"/>
  <c r="B22"/>
  <c r="O21"/>
  <c r="D21" s="1"/>
  <c r="B21"/>
  <c r="D20"/>
  <c r="B20"/>
  <c r="D19"/>
  <c r="B19"/>
  <c r="M18"/>
  <c r="B18"/>
  <c r="I17"/>
  <c r="B17"/>
  <c r="D16"/>
  <c r="B16"/>
  <c r="O15"/>
  <c r="D15" s="1"/>
  <c r="B15"/>
  <c r="O14"/>
  <c r="B14"/>
  <c r="D13"/>
  <c r="B13"/>
  <c r="AA12"/>
  <c r="Z12"/>
  <c r="Y12"/>
  <c r="X12"/>
  <c r="W12"/>
  <c r="V12"/>
  <c r="U12"/>
  <c r="T12"/>
  <c r="S12"/>
  <c r="R12"/>
  <c r="Q12"/>
  <c r="P12"/>
  <c r="K12"/>
  <c r="J12"/>
  <c r="H12"/>
  <c r="F12"/>
  <c r="P242" i="13"/>
  <c r="Q241"/>
  <c r="L241"/>
  <c r="K241"/>
  <c r="J241"/>
  <c r="I241"/>
  <c r="P241" s="1"/>
  <c r="P240"/>
  <c r="Q239"/>
  <c r="L239"/>
  <c r="K239"/>
  <c r="J239"/>
  <c r="I239"/>
  <c r="P239" s="1"/>
  <c r="P238"/>
  <c r="Q237"/>
  <c r="L237"/>
  <c r="K237"/>
  <c r="J237"/>
  <c r="I237"/>
  <c r="P237" s="1"/>
  <c r="P236"/>
  <c r="Q235"/>
  <c r="L235"/>
  <c r="K235"/>
  <c r="J235"/>
  <c r="I235"/>
  <c r="P235" s="1"/>
  <c r="P234"/>
  <c r="P233"/>
  <c r="Q232"/>
  <c r="L232"/>
  <c r="K232"/>
  <c r="J232"/>
  <c r="I232"/>
  <c r="P232" s="1"/>
  <c r="P231"/>
  <c r="K231"/>
  <c r="K230" s="1"/>
  <c r="Q230"/>
  <c r="L230"/>
  <c r="J230"/>
  <c r="I230"/>
  <c r="P230" s="1"/>
  <c r="P229"/>
  <c r="Q228"/>
  <c r="L228"/>
  <c r="K228"/>
  <c r="J228"/>
  <c r="I228"/>
  <c r="P228" s="1"/>
  <c r="P227"/>
  <c r="Q226"/>
  <c r="L226"/>
  <c r="K226"/>
  <c r="J226"/>
  <c r="I226"/>
  <c r="P226" s="1"/>
  <c r="P225"/>
  <c r="Q224"/>
  <c r="L224"/>
  <c r="K224"/>
  <c r="J224"/>
  <c r="I224"/>
  <c r="P224" s="1"/>
  <c r="P223"/>
  <c r="Q222"/>
  <c r="L222"/>
  <c r="K222"/>
  <c r="J222"/>
  <c r="I222"/>
  <c r="P222" s="1"/>
  <c r="P221"/>
  <c r="Q220"/>
  <c r="L220"/>
  <c r="K220"/>
  <c r="J220"/>
  <c r="I220"/>
  <c r="P220" s="1"/>
  <c r="P219"/>
  <c r="P218"/>
  <c r="P217"/>
  <c r="P216"/>
  <c r="Q215"/>
  <c r="L215"/>
  <c r="K215"/>
  <c r="J215"/>
  <c r="I215"/>
  <c r="P215" s="1"/>
  <c r="P214"/>
  <c r="Q213"/>
  <c r="L213"/>
  <c r="K213"/>
  <c r="J213"/>
  <c r="I213"/>
  <c r="P213" s="1"/>
  <c r="P212"/>
  <c r="Q211"/>
  <c r="L211"/>
  <c r="K211"/>
  <c r="J211"/>
  <c r="I211"/>
  <c r="P211" s="1"/>
  <c r="P210"/>
  <c r="Q209"/>
  <c r="L209"/>
  <c r="K209"/>
  <c r="J209"/>
  <c r="I209"/>
  <c r="P209" s="1"/>
  <c r="P208"/>
  <c r="P207"/>
  <c r="P206"/>
  <c r="Q205"/>
  <c r="L205"/>
  <c r="K205"/>
  <c r="J205"/>
  <c r="I205"/>
  <c r="P205" s="1"/>
  <c r="P204"/>
  <c r="P203"/>
  <c r="Q202"/>
  <c r="L202"/>
  <c r="K202"/>
  <c r="J202"/>
  <c r="I202"/>
  <c r="P202" s="1"/>
  <c r="P201"/>
  <c r="P200"/>
  <c r="Q199"/>
  <c r="L199"/>
  <c r="K199"/>
  <c r="J199"/>
  <c r="I199"/>
  <c r="P199" s="1"/>
  <c r="P198"/>
  <c r="Q197"/>
  <c r="L197"/>
  <c r="K197"/>
  <c r="J197"/>
  <c r="I197"/>
  <c r="P197" s="1"/>
  <c r="P196"/>
  <c r="K196"/>
  <c r="K191" s="1"/>
  <c r="P195"/>
  <c r="P194"/>
  <c r="P193"/>
  <c r="P192"/>
  <c r="Q191"/>
  <c r="L191"/>
  <c r="J191"/>
  <c r="I191"/>
  <c r="P191" s="1"/>
  <c r="P190"/>
  <c r="Q189"/>
  <c r="L189"/>
  <c r="K189"/>
  <c r="J189"/>
  <c r="I189"/>
  <c r="P189" s="1"/>
  <c r="P188"/>
  <c r="P187"/>
  <c r="Q186"/>
  <c r="L186"/>
  <c r="K186"/>
  <c r="J186"/>
  <c r="I186"/>
  <c r="P186" s="1"/>
  <c r="P185"/>
  <c r="P184"/>
  <c r="Q183"/>
  <c r="L183"/>
  <c r="K183"/>
  <c r="J183"/>
  <c r="I183"/>
  <c r="P183" s="1"/>
  <c r="P182"/>
  <c r="P181"/>
  <c r="P180"/>
  <c r="P179"/>
  <c r="P178"/>
  <c r="P177"/>
  <c r="Q176"/>
  <c r="L176"/>
  <c r="K176"/>
  <c r="J176"/>
  <c r="I176"/>
  <c r="P176" s="1"/>
  <c r="P175"/>
  <c r="P174"/>
  <c r="P173"/>
  <c r="P172"/>
  <c r="P171"/>
  <c r="P170"/>
  <c r="P169"/>
  <c r="P168"/>
  <c r="P167"/>
  <c r="P166"/>
  <c r="P165"/>
  <c r="P164"/>
  <c r="P163"/>
  <c r="P162"/>
  <c r="P161"/>
  <c r="B16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7" s="1"/>
  <c r="B178" s="1"/>
  <c r="B179" s="1"/>
  <c r="B180" s="1"/>
  <c r="B181" s="1"/>
  <c r="B182" s="1"/>
  <c r="B184" s="1"/>
  <c r="B185" s="1"/>
  <c r="B187" s="1"/>
  <c r="B188" s="1"/>
  <c r="B190" s="1"/>
  <c r="B192" s="1"/>
  <c r="B193" s="1"/>
  <c r="B194" s="1"/>
  <c r="B195" s="1"/>
  <c r="B196" s="1"/>
  <c r="B198" s="1"/>
  <c r="B200" s="1"/>
  <c r="B201" s="1"/>
  <c r="B203" s="1"/>
  <c r="B204" s="1"/>
  <c r="B206" s="1"/>
  <c r="B207" s="1"/>
  <c r="B208" s="1"/>
  <c r="B210" s="1"/>
  <c r="B212" s="1"/>
  <c r="B214" s="1"/>
  <c r="B216" s="1"/>
  <c r="B217" s="1"/>
  <c r="B218" s="1"/>
  <c r="B219" s="1"/>
  <c r="B221" s="1"/>
  <c r="B223" s="1"/>
  <c r="B225" s="1"/>
  <c r="B227" s="1"/>
  <c r="B229" s="1"/>
  <c r="B231" s="1"/>
  <c r="B233" s="1"/>
  <c r="B234" s="1"/>
  <c r="B236" s="1"/>
  <c r="B238" s="1"/>
  <c r="B240" s="1"/>
  <c r="B242" s="1"/>
  <c r="Q160"/>
  <c r="L160"/>
  <c r="K160"/>
  <c r="J160"/>
  <c r="I160"/>
  <c r="P160" s="1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7"/>
  <c r="P136"/>
  <c r="P135"/>
  <c r="P134"/>
  <c r="Q133"/>
  <c r="L133"/>
  <c r="K133"/>
  <c r="J133"/>
  <c r="I133"/>
  <c r="P133" s="1"/>
  <c r="P132"/>
  <c r="P131"/>
  <c r="P130"/>
  <c r="P129"/>
  <c r="Q128"/>
  <c r="L128"/>
  <c r="K128"/>
  <c r="J128"/>
  <c r="I128"/>
  <c r="P128" s="1"/>
  <c r="P127"/>
  <c r="P126"/>
  <c r="P125"/>
  <c r="P124"/>
  <c r="P123"/>
  <c r="P122"/>
  <c r="P121"/>
  <c r="Q120"/>
  <c r="L120"/>
  <c r="K120"/>
  <c r="J120"/>
  <c r="I120"/>
  <c r="P120" s="1"/>
  <c r="P119"/>
  <c r="P118"/>
  <c r="P117"/>
  <c r="P116"/>
  <c r="P115"/>
  <c r="P114"/>
  <c r="P113"/>
  <c r="P112"/>
  <c r="P111"/>
  <c r="P110"/>
  <c r="P109"/>
  <c r="P108"/>
  <c r="P107"/>
  <c r="P106"/>
  <c r="P105"/>
  <c r="P104"/>
  <c r="Q103"/>
  <c r="L103"/>
  <c r="K103"/>
  <c r="J103"/>
  <c r="I103"/>
  <c r="P103" s="1"/>
  <c r="P102"/>
  <c r="P101"/>
  <c r="P100"/>
  <c r="Q99"/>
  <c r="L99"/>
  <c r="K99"/>
  <c r="J99"/>
  <c r="I99"/>
  <c r="P99" s="1"/>
  <c r="P98"/>
  <c r="K98"/>
  <c r="K97" s="1"/>
  <c r="Q97"/>
  <c r="L97"/>
  <c r="J97"/>
  <c r="I97"/>
  <c r="P97" s="1"/>
  <c r="P96"/>
  <c r="P95"/>
  <c r="P94"/>
  <c r="P93"/>
  <c r="P92"/>
  <c r="P91"/>
  <c r="Q90"/>
  <c r="L90"/>
  <c r="K90"/>
  <c r="J90"/>
  <c r="I90"/>
  <c r="P90" s="1"/>
  <c r="P87"/>
  <c r="K87"/>
  <c r="K86" s="1"/>
  <c r="B87"/>
  <c r="Q86"/>
  <c r="L86"/>
  <c r="J86"/>
  <c r="I86"/>
  <c r="P86" s="1"/>
  <c r="P85"/>
  <c r="K85"/>
  <c r="K84" s="1"/>
  <c r="B85"/>
  <c r="Q84"/>
  <c r="L84"/>
  <c r="J84"/>
  <c r="I84"/>
  <c r="P84" s="1"/>
  <c r="P83"/>
  <c r="K83"/>
  <c r="K82" s="1"/>
  <c r="B83"/>
  <c r="Q82"/>
  <c r="L82"/>
  <c r="J82"/>
  <c r="I82"/>
  <c r="P82" s="1"/>
  <c r="P81"/>
  <c r="K81"/>
  <c r="K80" s="1"/>
  <c r="B81"/>
  <c r="Q80"/>
  <c r="L80"/>
  <c r="J80"/>
  <c r="I80"/>
  <c r="P80" s="1"/>
  <c r="P79"/>
  <c r="K79"/>
  <c r="B79"/>
  <c r="P78"/>
  <c r="K78"/>
  <c r="B78"/>
  <c r="P77"/>
  <c r="K77"/>
  <c r="B77"/>
  <c r="Q76"/>
  <c r="L76"/>
  <c r="J76"/>
  <c r="I76"/>
  <c r="P76" s="1"/>
  <c r="P75"/>
  <c r="B75"/>
  <c r="Q74"/>
  <c r="L74"/>
  <c r="L73" s="1"/>
  <c r="L72" s="1"/>
  <c r="K74"/>
  <c r="J74"/>
  <c r="I74"/>
  <c r="P74" s="1"/>
  <c r="P73"/>
  <c r="K73"/>
  <c r="K72" s="1"/>
  <c r="B73"/>
  <c r="Q72"/>
  <c r="J72"/>
  <c r="I72"/>
  <c r="P72" s="1"/>
  <c r="P71"/>
  <c r="B71"/>
  <c r="P70"/>
  <c r="B70"/>
  <c r="P69"/>
  <c r="K69"/>
  <c r="K68" s="1"/>
  <c r="B69"/>
  <c r="Q68"/>
  <c r="L68"/>
  <c r="J68"/>
  <c r="I68"/>
  <c r="P68" s="1"/>
  <c r="P66"/>
  <c r="B66"/>
  <c r="Q65"/>
  <c r="L65"/>
  <c r="K65"/>
  <c r="J65"/>
  <c r="I65"/>
  <c r="P65" s="1"/>
  <c r="P64"/>
  <c r="K64"/>
  <c r="K63" s="1"/>
  <c r="B64"/>
  <c r="Q63"/>
  <c r="L63"/>
  <c r="J63"/>
  <c r="I63"/>
  <c r="P63" s="1"/>
  <c r="P62"/>
  <c r="K62"/>
  <c r="K61" s="1"/>
  <c r="B62"/>
  <c r="Q61"/>
  <c r="L61"/>
  <c r="J61"/>
  <c r="I61"/>
  <c r="P61" s="1"/>
  <c r="P60"/>
  <c r="B60"/>
  <c r="P59"/>
  <c r="K59"/>
  <c r="K57" s="1"/>
  <c r="B59"/>
  <c r="P58"/>
  <c r="B58"/>
  <c r="Q57"/>
  <c r="L57"/>
  <c r="J57"/>
  <c r="I57"/>
  <c r="P57" s="1"/>
  <c r="P56"/>
  <c r="K56"/>
  <c r="K55" s="1"/>
  <c r="B56"/>
  <c r="Q55"/>
  <c r="L55"/>
  <c r="J55"/>
  <c r="I55"/>
  <c r="P55" s="1"/>
  <c r="P54"/>
  <c r="K54"/>
  <c r="K53" s="1"/>
  <c r="B54"/>
  <c r="Q53"/>
  <c r="L53"/>
  <c r="J53"/>
  <c r="I53"/>
  <c r="P53" s="1"/>
  <c r="P52"/>
  <c r="K52"/>
  <c r="K51" s="1"/>
  <c r="B52"/>
  <c r="Q51"/>
  <c r="L51"/>
  <c r="J51"/>
  <c r="I51"/>
  <c r="P51" s="1"/>
  <c r="P50"/>
  <c r="K50"/>
  <c r="B50"/>
  <c r="P49"/>
  <c r="K49"/>
  <c r="B49"/>
  <c r="P48"/>
  <c r="K48"/>
  <c r="B48"/>
  <c r="Q47"/>
  <c r="L47"/>
  <c r="J47"/>
  <c r="I47"/>
  <c r="P47" s="1"/>
  <c r="P46"/>
  <c r="K46"/>
  <c r="B46"/>
  <c r="Q45"/>
  <c r="L45"/>
  <c r="K45"/>
  <c r="J45"/>
  <c r="I45"/>
  <c r="P45" s="1"/>
  <c r="P44"/>
  <c r="K44"/>
  <c r="K43" s="1"/>
  <c r="B44"/>
  <c r="Q43"/>
  <c r="L43"/>
  <c r="J43"/>
  <c r="I43"/>
  <c r="P43" s="1"/>
  <c r="P42"/>
  <c r="K42"/>
  <c r="B42"/>
  <c r="P41"/>
  <c r="K41"/>
  <c r="B41"/>
  <c r="P40"/>
  <c r="K40"/>
  <c r="B40"/>
  <c r="Q39"/>
  <c r="L39"/>
  <c r="J39"/>
  <c r="I39"/>
  <c r="P39" s="1"/>
  <c r="P38"/>
  <c r="B38"/>
  <c r="P37"/>
  <c r="K37"/>
  <c r="K36" s="1"/>
  <c r="B37"/>
  <c r="Q36"/>
  <c r="L36"/>
  <c r="J36"/>
  <c r="I36"/>
  <c r="P36" s="1"/>
  <c r="P35"/>
  <c r="K35"/>
  <c r="B35"/>
  <c r="P34"/>
  <c r="K34"/>
  <c r="B34"/>
  <c r="Q33"/>
  <c r="L33"/>
  <c r="J33"/>
  <c r="I33"/>
  <c r="P33" s="1"/>
  <c r="P32"/>
  <c r="K32"/>
  <c r="K31" s="1"/>
  <c r="B32"/>
  <c r="Q31"/>
  <c r="L31"/>
  <c r="J31"/>
  <c r="I31"/>
  <c r="P31" s="1"/>
  <c r="P30"/>
  <c r="K30"/>
  <c r="K29" s="1"/>
  <c r="B30"/>
  <c r="Q29"/>
  <c r="L29"/>
  <c r="J29"/>
  <c r="I29"/>
  <c r="P29" s="1"/>
  <c r="P28"/>
  <c r="K28"/>
  <c r="K27" s="1"/>
  <c r="B28"/>
  <c r="Q27"/>
  <c r="L27"/>
  <c r="J27"/>
  <c r="I27"/>
  <c r="P27" s="1"/>
  <c r="P26"/>
  <c r="B26"/>
  <c r="P25"/>
  <c r="B25"/>
  <c r="P24"/>
  <c r="B24"/>
  <c r="P23"/>
  <c r="K23"/>
  <c r="B23"/>
  <c r="P22"/>
  <c r="K22"/>
  <c r="B22"/>
  <c r="P21"/>
  <c r="K21"/>
  <c r="B21"/>
  <c r="P20"/>
  <c r="K20"/>
  <c r="B20"/>
  <c r="P19"/>
  <c r="K19"/>
  <c r="B19"/>
  <c r="Q18"/>
  <c r="L18"/>
  <c r="J18"/>
  <c r="I18"/>
  <c r="P18" s="1"/>
  <c r="P17"/>
  <c r="K17"/>
  <c r="K16" s="1"/>
  <c r="B17"/>
  <c r="Q16"/>
  <c r="L16"/>
  <c r="J16"/>
  <c r="I16"/>
  <c r="D474" i="12" l="1"/>
  <c r="D484"/>
  <c r="D469"/>
  <c r="D481"/>
  <c r="D43"/>
  <c r="D442"/>
  <c r="M12"/>
  <c r="D18"/>
  <c r="D435"/>
  <c r="D428"/>
  <c r="D420"/>
  <c r="D446"/>
  <c r="D465"/>
  <c r="D457" s="1"/>
  <c r="D368"/>
  <c r="D417"/>
  <c r="D453"/>
  <c r="P11"/>
  <c r="T11"/>
  <c r="X11"/>
  <c r="O220"/>
  <c r="D200"/>
  <c r="Q11"/>
  <c r="U11"/>
  <c r="Y11"/>
  <c r="D326"/>
  <c r="E12"/>
  <c r="E11" s="1"/>
  <c r="L12"/>
  <c r="D337"/>
  <c r="D335" s="1"/>
  <c r="I335"/>
  <c r="H11"/>
  <c r="D232"/>
  <c r="L220"/>
  <c r="G12"/>
  <c r="G11" s="1"/>
  <c r="D24"/>
  <c r="D184"/>
  <c r="D17"/>
  <c r="I12"/>
  <c r="I11" s="1"/>
  <c r="D14"/>
  <c r="O12"/>
  <c r="F11"/>
  <c r="J11"/>
  <c r="N11"/>
  <c r="R11"/>
  <c r="V11"/>
  <c r="Z11"/>
  <c r="K11"/>
  <c r="S11"/>
  <c r="W11"/>
  <c r="AA11"/>
  <c r="D230"/>
  <c r="M220"/>
  <c r="K39" i="13"/>
  <c r="K76"/>
  <c r="K67" s="1"/>
  <c r="I15"/>
  <c r="I67"/>
  <c r="P67" s="1"/>
  <c r="L67"/>
  <c r="K89"/>
  <c r="K18"/>
  <c r="K33"/>
  <c r="I89"/>
  <c r="P89" s="1"/>
  <c r="Q67"/>
  <c r="L89"/>
  <c r="J15"/>
  <c r="K47"/>
  <c r="Q89"/>
  <c r="L15"/>
  <c r="J89"/>
  <c r="Q15"/>
  <c r="J67"/>
  <c r="P15"/>
  <c r="P16"/>
  <c r="M11" i="12" l="1"/>
  <c r="O11"/>
  <c r="D220"/>
  <c r="L11"/>
  <c r="D12"/>
  <c r="L14" i="13"/>
  <c r="Q14"/>
  <c r="K15"/>
  <c r="K14" s="1"/>
  <c r="I14"/>
  <c r="P14" s="1"/>
  <c r="J14"/>
  <c r="D11" i="12" l="1"/>
  <c r="AE182" i="8" l="1"/>
  <c r="F182" s="1"/>
  <c r="B182"/>
  <c r="AE220"/>
  <c r="AE219"/>
  <c r="F219" s="1"/>
  <c r="B219"/>
  <c r="AE196"/>
  <c r="F196" s="1"/>
  <c r="B196"/>
  <c r="E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Y231"/>
  <c r="Z231"/>
  <c r="AA231"/>
  <c r="AB231"/>
  <c r="AC231"/>
  <c r="AD231"/>
  <c r="AF231"/>
  <c r="AG231"/>
  <c r="B232"/>
  <c r="AE232"/>
  <c r="AE231" s="1"/>
  <c r="AE243"/>
  <c r="AE241"/>
  <c r="F241" s="1"/>
  <c r="F240" s="1"/>
  <c r="B241"/>
  <c r="AG240"/>
  <c r="AF240"/>
  <c r="AD240"/>
  <c r="AC240"/>
  <c r="AB240"/>
  <c r="AA240"/>
  <c r="Z240"/>
  <c r="Y240"/>
  <c r="X240"/>
  <c r="W240"/>
  <c r="V240"/>
  <c r="U240"/>
  <c r="T240"/>
  <c r="S240"/>
  <c r="R240"/>
  <c r="Q240"/>
  <c r="P240"/>
  <c r="O240"/>
  <c r="N240"/>
  <c r="M240"/>
  <c r="L240"/>
  <c r="K240"/>
  <c r="J240"/>
  <c r="I240"/>
  <c r="H240"/>
  <c r="G240"/>
  <c r="E240"/>
  <c r="AE24"/>
  <c r="AE38"/>
  <c r="AE45"/>
  <c r="F232" l="1"/>
  <c r="F231" s="1"/>
  <c r="AE240"/>
  <c r="E15" i="10" l="1"/>
  <c r="D15"/>
  <c r="C15"/>
  <c r="E34"/>
  <c r="D34"/>
  <c r="C34"/>
  <c r="E14" l="1"/>
  <c r="D14"/>
  <c r="C14"/>
  <c r="B243" i="8"/>
  <c r="B239"/>
  <c r="B237"/>
  <c r="B235"/>
  <c r="B234"/>
  <c r="B230"/>
  <c r="B228"/>
  <c r="B226"/>
  <c r="B224"/>
  <c r="B222"/>
  <c r="B220"/>
  <c r="B218"/>
  <c r="B217"/>
  <c r="B215"/>
  <c r="B213"/>
  <c r="B211"/>
  <c r="B209"/>
  <c r="B208"/>
  <c r="B207"/>
  <c r="B205"/>
  <c r="B204"/>
  <c r="B202"/>
  <c r="B201"/>
  <c r="B199"/>
  <c r="B197"/>
  <c r="B195"/>
  <c r="B194"/>
  <c r="B193"/>
  <c r="B191"/>
  <c r="B189"/>
  <c r="B188"/>
  <c r="B186"/>
  <c r="B185"/>
  <c r="B183"/>
  <c r="B181"/>
  <c r="B180"/>
  <c r="B179"/>
  <c r="B178"/>
  <c r="B176"/>
  <c r="B175"/>
  <c r="B174"/>
  <c r="B173"/>
  <c r="B172"/>
  <c r="B171"/>
  <c r="B170"/>
  <c r="B169"/>
  <c r="B168"/>
  <c r="B167"/>
  <c r="B166"/>
  <c r="B165"/>
  <c r="B164"/>
  <c r="B163"/>
  <c r="B162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3"/>
  <c r="B132"/>
  <c r="B131"/>
  <c r="B130"/>
  <c r="B128"/>
  <c r="B127"/>
  <c r="B126"/>
  <c r="B125"/>
  <c r="B124"/>
  <c r="B123"/>
  <c r="B122"/>
  <c r="B120"/>
  <c r="B119"/>
  <c r="B118"/>
  <c r="B117"/>
  <c r="B116"/>
  <c r="B115"/>
  <c r="B114"/>
  <c r="B113"/>
  <c r="B112"/>
  <c r="B111"/>
  <c r="B110"/>
  <c r="B109"/>
  <c r="B108"/>
  <c r="B107"/>
  <c r="B106"/>
  <c r="B105"/>
  <c r="B103"/>
  <c r="B88"/>
  <c r="B86"/>
  <c r="B84"/>
  <c r="B82"/>
  <c r="B80"/>
  <c r="B79"/>
  <c r="B78"/>
  <c r="B76"/>
  <c r="B74"/>
  <c r="B72"/>
  <c r="B71"/>
  <c r="B70"/>
  <c r="AE88"/>
  <c r="F88" s="1"/>
  <c r="F87" s="1"/>
  <c r="AG87"/>
  <c r="AF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E87"/>
  <c r="AE86"/>
  <c r="F86" s="1"/>
  <c r="F85" s="1"/>
  <c r="AG85"/>
  <c r="AF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E85"/>
  <c r="AE84"/>
  <c r="F84" s="1"/>
  <c r="F83" s="1"/>
  <c r="AG83"/>
  <c r="AF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E83"/>
  <c r="AE82"/>
  <c r="F82" s="1"/>
  <c r="F81" s="1"/>
  <c r="AG81"/>
  <c r="AF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E81"/>
  <c r="E77"/>
  <c r="AE80"/>
  <c r="F80" s="1"/>
  <c r="AE79"/>
  <c r="F79" s="1"/>
  <c r="AE78"/>
  <c r="F78" s="1"/>
  <c r="AG77"/>
  <c r="AF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J77"/>
  <c r="I77"/>
  <c r="H77"/>
  <c r="G77"/>
  <c r="AE76"/>
  <c r="F76" s="1"/>
  <c r="AG75"/>
  <c r="AF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E75"/>
  <c r="AE74"/>
  <c r="F74" s="1"/>
  <c r="F73" s="1"/>
  <c r="AG73"/>
  <c r="AF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E73"/>
  <c r="AE72"/>
  <c r="F72" s="1"/>
  <c r="AE71"/>
  <c r="F71" s="1"/>
  <c r="AE70"/>
  <c r="F70" s="1"/>
  <c r="AG69"/>
  <c r="AF69"/>
  <c r="AD69"/>
  <c r="AC69"/>
  <c r="AB69"/>
  <c r="AA69"/>
  <c r="Z69"/>
  <c r="Y69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E69"/>
  <c r="H68" l="1"/>
  <c r="L68"/>
  <c r="P68"/>
  <c r="T68"/>
  <c r="X68"/>
  <c r="AB68"/>
  <c r="AG68"/>
  <c r="I68"/>
  <c r="M68"/>
  <c r="Q68"/>
  <c r="U68"/>
  <c r="Y68"/>
  <c r="AC68"/>
  <c r="J68"/>
  <c r="N68"/>
  <c r="R68"/>
  <c r="V68"/>
  <c r="Z68"/>
  <c r="AD68"/>
  <c r="G68"/>
  <c r="K68"/>
  <c r="O68"/>
  <c r="S68"/>
  <c r="W68"/>
  <c r="AA68"/>
  <c r="AF68"/>
  <c r="E68"/>
  <c r="AE77"/>
  <c r="F69"/>
  <c r="F75"/>
  <c r="F77"/>
  <c r="AE69"/>
  <c r="AE81"/>
  <c r="AE83"/>
  <c r="AE85"/>
  <c r="AE73"/>
  <c r="AE75"/>
  <c r="AE87"/>
  <c r="F68" l="1"/>
  <c r="AE68"/>
  <c r="P207" l="1"/>
  <c r="AG98" l="1"/>
  <c r="AF98"/>
  <c r="AD98"/>
  <c r="AC98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E98"/>
  <c r="O98"/>
  <c r="AE99"/>
  <c r="F99" s="1"/>
  <c r="F98" s="1"/>
  <c r="B99"/>
  <c r="AE36"/>
  <c r="AE98" l="1"/>
  <c r="F243" l="1"/>
  <c r="F242" s="1"/>
  <c r="AG242"/>
  <c r="AF242"/>
  <c r="AD242"/>
  <c r="AC242"/>
  <c r="AB242"/>
  <c r="AA242"/>
  <c r="Z242"/>
  <c r="Y242"/>
  <c r="X242"/>
  <c r="W242"/>
  <c r="V242"/>
  <c r="U242"/>
  <c r="T242"/>
  <c r="S242"/>
  <c r="R242"/>
  <c r="Q242"/>
  <c r="P242"/>
  <c r="O242"/>
  <c r="N242"/>
  <c r="M242"/>
  <c r="L242"/>
  <c r="K242"/>
  <c r="J242"/>
  <c r="I242"/>
  <c r="H242"/>
  <c r="G242"/>
  <c r="E242"/>
  <c r="AE239"/>
  <c r="F239" s="1"/>
  <c r="F238" s="1"/>
  <c r="AG238"/>
  <c r="AF238"/>
  <c r="AD238"/>
  <c r="AC238"/>
  <c r="AB238"/>
  <c r="AA238"/>
  <c r="Z238"/>
  <c r="Y238"/>
  <c r="X238"/>
  <c r="W238"/>
  <c r="V238"/>
  <c r="U238"/>
  <c r="T238"/>
  <c r="S238"/>
  <c r="R238"/>
  <c r="Q238"/>
  <c r="P238"/>
  <c r="O238"/>
  <c r="N238"/>
  <c r="M238"/>
  <c r="L238"/>
  <c r="K238"/>
  <c r="J238"/>
  <c r="I238"/>
  <c r="H238"/>
  <c r="G238"/>
  <c r="AE237"/>
  <c r="F237" s="1"/>
  <c r="F236" s="1"/>
  <c r="AG236"/>
  <c r="AF236"/>
  <c r="AD236"/>
  <c r="AC236"/>
  <c r="AB236"/>
  <c r="AA236"/>
  <c r="Z236"/>
  <c r="Y236"/>
  <c r="X236"/>
  <c r="W236"/>
  <c r="V236"/>
  <c r="U236"/>
  <c r="T236"/>
  <c r="S236"/>
  <c r="R236"/>
  <c r="Q236"/>
  <c r="P236"/>
  <c r="O236"/>
  <c r="N236"/>
  <c r="M236"/>
  <c r="L236"/>
  <c r="K236"/>
  <c r="J236"/>
  <c r="I236"/>
  <c r="H236"/>
  <c r="G236"/>
  <c r="E236"/>
  <c r="AE235"/>
  <c r="F235" s="1"/>
  <c r="F234"/>
  <c r="AG233"/>
  <c r="AF233"/>
  <c r="AD233"/>
  <c r="AC233"/>
  <c r="AB233"/>
  <c r="AA233"/>
  <c r="Z233"/>
  <c r="Y233"/>
  <c r="X233"/>
  <c r="W233"/>
  <c r="V233"/>
  <c r="U233"/>
  <c r="T233"/>
  <c r="S233"/>
  <c r="R233"/>
  <c r="Q233"/>
  <c r="P233"/>
  <c r="O233"/>
  <c r="N233"/>
  <c r="M233"/>
  <c r="L233"/>
  <c r="K233"/>
  <c r="J233"/>
  <c r="I233"/>
  <c r="H233"/>
  <c r="G233"/>
  <c r="E233"/>
  <c r="AE230"/>
  <c r="F230" s="1"/>
  <c r="F229" s="1"/>
  <c r="AG229"/>
  <c r="AF229"/>
  <c r="AD229"/>
  <c r="AC229"/>
  <c r="AB229"/>
  <c r="AA229"/>
  <c r="Z229"/>
  <c r="Y229"/>
  <c r="X229"/>
  <c r="W229"/>
  <c r="V229"/>
  <c r="U229"/>
  <c r="T229"/>
  <c r="S229"/>
  <c r="R229"/>
  <c r="Q229"/>
  <c r="P229"/>
  <c r="O229"/>
  <c r="N229"/>
  <c r="M229"/>
  <c r="L229"/>
  <c r="K229"/>
  <c r="J229"/>
  <c r="I229"/>
  <c r="H229"/>
  <c r="G229"/>
  <c r="E229"/>
  <c r="AE228"/>
  <c r="F228" s="1"/>
  <c r="F227" s="1"/>
  <c r="AG227"/>
  <c r="AF227"/>
  <c r="AD227"/>
  <c r="AC227"/>
  <c r="AB227"/>
  <c r="AA227"/>
  <c r="Z227"/>
  <c r="Y227"/>
  <c r="X227"/>
  <c r="W227"/>
  <c r="V227"/>
  <c r="U227"/>
  <c r="T227"/>
  <c r="S227"/>
  <c r="R227"/>
  <c r="Q227"/>
  <c r="P227"/>
  <c r="O227"/>
  <c r="N227"/>
  <c r="M227"/>
  <c r="L227"/>
  <c r="K227"/>
  <c r="J227"/>
  <c r="I227"/>
  <c r="H227"/>
  <c r="G227"/>
  <c r="E227"/>
  <c r="AE226"/>
  <c r="AE225" s="1"/>
  <c r="AG225"/>
  <c r="AF225"/>
  <c r="AD225"/>
  <c r="AC225"/>
  <c r="AB225"/>
  <c r="AA225"/>
  <c r="Z225"/>
  <c r="Y225"/>
  <c r="X225"/>
  <c r="W225"/>
  <c r="V225"/>
  <c r="U225"/>
  <c r="T225"/>
  <c r="S225"/>
  <c r="R225"/>
  <c r="Q225"/>
  <c r="P225"/>
  <c r="O225"/>
  <c r="N225"/>
  <c r="M225"/>
  <c r="L225"/>
  <c r="K225"/>
  <c r="J225"/>
  <c r="I225"/>
  <c r="H225"/>
  <c r="G225"/>
  <c r="E225"/>
  <c r="F224"/>
  <c r="F223" s="1"/>
  <c r="AG223"/>
  <c r="AF223"/>
  <c r="AE223"/>
  <c r="AD223"/>
  <c r="AC223"/>
  <c r="AB223"/>
  <c r="AA223"/>
  <c r="Z223"/>
  <c r="Y223"/>
  <c r="X223"/>
  <c r="W223"/>
  <c r="V223"/>
  <c r="U223"/>
  <c r="T223"/>
  <c r="S223"/>
  <c r="R223"/>
  <c r="Q223"/>
  <c r="P223"/>
  <c r="O223"/>
  <c r="N223"/>
  <c r="M223"/>
  <c r="L223"/>
  <c r="K223"/>
  <c r="J223"/>
  <c r="I223"/>
  <c r="H223"/>
  <c r="G223"/>
  <c r="E223"/>
  <c r="F222"/>
  <c r="F221" s="1"/>
  <c r="AG221"/>
  <c r="AF221"/>
  <c r="AE221"/>
  <c r="AD221"/>
  <c r="AC221"/>
  <c r="AB221"/>
  <c r="AA221"/>
  <c r="Z221"/>
  <c r="Y221"/>
  <c r="X221"/>
  <c r="W221"/>
  <c r="V221"/>
  <c r="U221"/>
  <c r="T221"/>
  <c r="S221"/>
  <c r="R221"/>
  <c r="Q221"/>
  <c r="P221"/>
  <c r="O221"/>
  <c r="N221"/>
  <c r="M221"/>
  <c r="L221"/>
  <c r="K221"/>
  <c r="J221"/>
  <c r="I221"/>
  <c r="H221"/>
  <c r="G221"/>
  <c r="E221"/>
  <c r="F220"/>
  <c r="AE218"/>
  <c r="F218" s="1"/>
  <c r="AE217"/>
  <c r="F217" s="1"/>
  <c r="AG216"/>
  <c r="AF216"/>
  <c r="AD216"/>
  <c r="AC216"/>
  <c r="AB216"/>
  <c r="AA216"/>
  <c r="Z216"/>
  <c r="Y216"/>
  <c r="X216"/>
  <c r="W216"/>
  <c r="V216"/>
  <c r="U216"/>
  <c r="T216"/>
  <c r="S216"/>
  <c r="R216"/>
  <c r="Q216"/>
  <c r="P216"/>
  <c r="O216"/>
  <c r="N216"/>
  <c r="M216"/>
  <c r="L216"/>
  <c r="K216"/>
  <c r="J216"/>
  <c r="I216"/>
  <c r="H216"/>
  <c r="G216"/>
  <c r="E216"/>
  <c r="AE215"/>
  <c r="F215" s="1"/>
  <c r="AE213"/>
  <c r="AE212" s="1"/>
  <c r="AG212"/>
  <c r="AF212"/>
  <c r="AD212"/>
  <c r="AC212"/>
  <c r="AB212"/>
  <c r="AA212"/>
  <c r="Z212"/>
  <c r="Y212"/>
  <c r="X212"/>
  <c r="W212"/>
  <c r="V212"/>
  <c r="U212"/>
  <c r="T212"/>
  <c r="S212"/>
  <c r="R212"/>
  <c r="Q212"/>
  <c r="P212"/>
  <c r="O212"/>
  <c r="N212"/>
  <c r="M212"/>
  <c r="L212"/>
  <c r="K212"/>
  <c r="J212"/>
  <c r="I212"/>
  <c r="H212"/>
  <c r="G212"/>
  <c r="E212"/>
  <c r="AE211"/>
  <c r="F211" s="1"/>
  <c r="F210" s="1"/>
  <c r="AG210"/>
  <c r="AF210"/>
  <c r="AD210"/>
  <c r="AC210"/>
  <c r="AB210"/>
  <c r="AA210"/>
  <c r="Z210"/>
  <c r="Y210"/>
  <c r="X210"/>
  <c r="W210"/>
  <c r="V210"/>
  <c r="U210"/>
  <c r="T210"/>
  <c r="S210"/>
  <c r="R210"/>
  <c r="Q210"/>
  <c r="P210"/>
  <c r="O210"/>
  <c r="N210"/>
  <c r="M210"/>
  <c r="L210"/>
  <c r="K210"/>
  <c r="J210"/>
  <c r="I210"/>
  <c r="H210"/>
  <c r="G210"/>
  <c r="E210"/>
  <c r="AE209"/>
  <c r="F209" s="1"/>
  <c r="AE208"/>
  <c r="AE207"/>
  <c r="F207" s="1"/>
  <c r="AG206"/>
  <c r="AF206"/>
  <c r="AD206"/>
  <c r="AC206"/>
  <c r="AB206"/>
  <c r="AA206"/>
  <c r="Z206"/>
  <c r="Y206"/>
  <c r="X206"/>
  <c r="W206"/>
  <c r="V206"/>
  <c r="U206"/>
  <c r="T206"/>
  <c r="S206"/>
  <c r="R206"/>
  <c r="Q206"/>
  <c r="P206"/>
  <c r="O206"/>
  <c r="N206"/>
  <c r="M206"/>
  <c r="L206"/>
  <c r="K206"/>
  <c r="J206"/>
  <c r="I206"/>
  <c r="H206"/>
  <c r="G206"/>
  <c r="E206"/>
  <c r="AE205"/>
  <c r="F205" s="1"/>
  <c r="AE204"/>
  <c r="F204" s="1"/>
  <c r="AG203"/>
  <c r="AF203"/>
  <c r="AD203"/>
  <c r="AC203"/>
  <c r="AB203"/>
  <c r="AA203"/>
  <c r="Z203"/>
  <c r="Y203"/>
  <c r="X203"/>
  <c r="W203"/>
  <c r="V203"/>
  <c r="U203"/>
  <c r="T203"/>
  <c r="S203"/>
  <c r="R203"/>
  <c r="Q203"/>
  <c r="P203"/>
  <c r="O203"/>
  <c r="N203"/>
  <c r="M203"/>
  <c r="L203"/>
  <c r="K203"/>
  <c r="J203"/>
  <c r="I203"/>
  <c r="H203"/>
  <c r="G203"/>
  <c r="E203"/>
  <c r="AE202"/>
  <c r="F202" s="1"/>
  <c r="AE201"/>
  <c r="F201" s="1"/>
  <c r="AG200"/>
  <c r="AF200"/>
  <c r="AD200"/>
  <c r="AC200"/>
  <c r="AB200"/>
  <c r="AA200"/>
  <c r="Z200"/>
  <c r="Y200"/>
  <c r="X200"/>
  <c r="W200"/>
  <c r="V200"/>
  <c r="U200"/>
  <c r="T200"/>
  <c r="S200"/>
  <c r="R200"/>
  <c r="Q200"/>
  <c r="P200"/>
  <c r="O200"/>
  <c r="N200"/>
  <c r="M200"/>
  <c r="L200"/>
  <c r="K200"/>
  <c r="J200"/>
  <c r="I200"/>
  <c r="H200"/>
  <c r="G200"/>
  <c r="E200"/>
  <c r="F199"/>
  <c r="F198" s="1"/>
  <c r="AG198"/>
  <c r="AF198"/>
  <c r="AE198"/>
  <c r="AD198"/>
  <c r="AC198"/>
  <c r="AB198"/>
  <c r="AA198"/>
  <c r="Z198"/>
  <c r="Y198"/>
  <c r="X198"/>
  <c r="W198"/>
  <c r="V198"/>
  <c r="U198"/>
  <c r="T198"/>
  <c r="S198"/>
  <c r="R198"/>
  <c r="Q198"/>
  <c r="P198"/>
  <c r="O198"/>
  <c r="N198"/>
  <c r="M198"/>
  <c r="L198"/>
  <c r="K198"/>
  <c r="J198"/>
  <c r="I198"/>
  <c r="H198"/>
  <c r="G198"/>
  <c r="E198"/>
  <c r="AE197"/>
  <c r="F197" s="1"/>
  <c r="AE195"/>
  <c r="F195" s="1"/>
  <c r="AE194"/>
  <c r="F194" s="1"/>
  <c r="AE193"/>
  <c r="F193" s="1"/>
  <c r="AG192"/>
  <c r="AF192"/>
  <c r="AD192"/>
  <c r="AC192"/>
  <c r="AB192"/>
  <c r="AA192"/>
  <c r="Z192"/>
  <c r="Y192"/>
  <c r="X192"/>
  <c r="W192"/>
  <c r="V192"/>
  <c r="U192"/>
  <c r="T192"/>
  <c r="S192"/>
  <c r="R192"/>
  <c r="Q192"/>
  <c r="P192"/>
  <c r="O192"/>
  <c r="N192"/>
  <c r="M192"/>
  <c r="L192"/>
  <c r="K192"/>
  <c r="J192"/>
  <c r="I192"/>
  <c r="H192"/>
  <c r="G192"/>
  <c r="E192"/>
  <c r="AE191"/>
  <c r="F191" s="1"/>
  <c r="F190" s="1"/>
  <c r="AG190"/>
  <c r="AF190"/>
  <c r="AD190"/>
  <c r="AC190"/>
  <c r="AB190"/>
  <c r="AA190"/>
  <c r="Z190"/>
  <c r="Y190"/>
  <c r="X190"/>
  <c r="W190"/>
  <c r="V190"/>
  <c r="U190"/>
  <c r="T190"/>
  <c r="S190"/>
  <c r="R190"/>
  <c r="Q190"/>
  <c r="P190"/>
  <c r="O190"/>
  <c r="N190"/>
  <c r="M190"/>
  <c r="L190"/>
  <c r="K190"/>
  <c r="J190"/>
  <c r="I190"/>
  <c r="H190"/>
  <c r="G190"/>
  <c r="E190"/>
  <c r="AE189"/>
  <c r="F189" s="1"/>
  <c r="F188"/>
  <c r="AG187"/>
  <c r="AF187"/>
  <c r="AD187"/>
  <c r="AC187"/>
  <c r="AB187"/>
  <c r="AA187"/>
  <c r="Z187"/>
  <c r="Y187"/>
  <c r="X187"/>
  <c r="W187"/>
  <c r="V187"/>
  <c r="U187"/>
  <c r="T187"/>
  <c r="S187"/>
  <c r="R187"/>
  <c r="Q187"/>
  <c r="P187"/>
  <c r="O187"/>
  <c r="N187"/>
  <c r="M187"/>
  <c r="L187"/>
  <c r="K187"/>
  <c r="J187"/>
  <c r="I187"/>
  <c r="H187"/>
  <c r="G187"/>
  <c r="E187"/>
  <c r="F186"/>
  <c r="F185"/>
  <c r="AG184"/>
  <c r="AF184"/>
  <c r="AE184"/>
  <c r="AD184"/>
  <c r="AC184"/>
  <c r="AB184"/>
  <c r="AA184"/>
  <c r="Z184"/>
  <c r="Y184"/>
  <c r="X184"/>
  <c r="W184"/>
  <c r="V184"/>
  <c r="U184"/>
  <c r="T184"/>
  <c r="S184"/>
  <c r="R184"/>
  <c r="Q184"/>
  <c r="P184"/>
  <c r="O184"/>
  <c r="N184"/>
  <c r="M184"/>
  <c r="L184"/>
  <c r="K184"/>
  <c r="J184"/>
  <c r="I184"/>
  <c r="H184"/>
  <c r="G184"/>
  <c r="E184"/>
  <c r="AE183"/>
  <c r="F183" s="1"/>
  <c r="AE181"/>
  <c r="F181" s="1"/>
  <c r="AE180"/>
  <c r="F180" s="1"/>
  <c r="AE179"/>
  <c r="F179" s="1"/>
  <c r="AE178"/>
  <c r="F178" s="1"/>
  <c r="AG177"/>
  <c r="AF177"/>
  <c r="AD177"/>
  <c r="AC177"/>
  <c r="AB177"/>
  <c r="AA177"/>
  <c r="Z177"/>
  <c r="Y177"/>
  <c r="X177"/>
  <c r="W177"/>
  <c r="V177"/>
  <c r="U177"/>
  <c r="T177"/>
  <c r="S177"/>
  <c r="R177"/>
  <c r="Q177"/>
  <c r="P177"/>
  <c r="O177"/>
  <c r="N177"/>
  <c r="M177"/>
  <c r="L177"/>
  <c r="K177"/>
  <c r="J177"/>
  <c r="I177"/>
  <c r="H177"/>
  <c r="G177"/>
  <c r="E177"/>
  <c r="AE176"/>
  <c r="F176" s="1"/>
  <c r="AE175"/>
  <c r="F175" s="1"/>
  <c r="F174"/>
  <c r="AE173"/>
  <c r="F173" s="1"/>
  <c r="F172"/>
  <c r="F171"/>
  <c r="F170"/>
  <c r="F169"/>
  <c r="F168"/>
  <c r="F167"/>
  <c r="F166"/>
  <c r="F165"/>
  <c r="F164"/>
  <c r="F163"/>
  <c r="F162"/>
  <c r="AG161"/>
  <c r="AF161"/>
  <c r="AD161"/>
  <c r="AC161"/>
  <c r="AB161"/>
  <c r="AA161"/>
  <c r="Z161"/>
  <c r="Y161"/>
  <c r="X161"/>
  <c r="W161"/>
  <c r="V161"/>
  <c r="U161"/>
  <c r="T161"/>
  <c r="S161"/>
  <c r="R161"/>
  <c r="Q161"/>
  <c r="P161"/>
  <c r="O161"/>
  <c r="N161"/>
  <c r="M161"/>
  <c r="L161"/>
  <c r="K161"/>
  <c r="J161"/>
  <c r="I161"/>
  <c r="H161"/>
  <c r="G161"/>
  <c r="E161"/>
  <c r="AE160"/>
  <c r="F160" s="1"/>
  <c r="AE159"/>
  <c r="F159" s="1"/>
  <c r="AE158"/>
  <c r="F158" s="1"/>
  <c r="AE157"/>
  <c r="F157" s="1"/>
  <c r="AE156"/>
  <c r="F156" s="1"/>
  <c r="AE155"/>
  <c r="F155" s="1"/>
  <c r="AE154"/>
  <c r="F154" s="1"/>
  <c r="AE153"/>
  <c r="F153" s="1"/>
  <c r="AE152"/>
  <c r="F152" s="1"/>
  <c r="AE151"/>
  <c r="F151" s="1"/>
  <c r="F150"/>
  <c r="AE149"/>
  <c r="F149" s="1"/>
  <c r="AE148"/>
  <c r="F148" s="1"/>
  <c r="AE147"/>
  <c r="F147" s="1"/>
  <c r="AE146"/>
  <c r="F146" s="1"/>
  <c r="AE145"/>
  <c r="F145" s="1"/>
  <c r="AE144"/>
  <c r="F144" s="1"/>
  <c r="F143"/>
  <c r="AE142"/>
  <c r="F142" s="1"/>
  <c r="F141"/>
  <c r="F140"/>
  <c r="AE139"/>
  <c r="F139" s="1"/>
  <c r="AE138"/>
  <c r="F138" s="1"/>
  <c r="AE137"/>
  <c r="F137" s="1"/>
  <c r="AE136"/>
  <c r="F136" s="1"/>
  <c r="AE135"/>
  <c r="F135" s="1"/>
  <c r="AG134"/>
  <c r="AF134"/>
  <c r="AD134"/>
  <c r="AC134"/>
  <c r="AB134"/>
  <c r="AA134"/>
  <c r="Z134"/>
  <c r="Y134"/>
  <c r="X134"/>
  <c r="W134"/>
  <c r="V134"/>
  <c r="U134"/>
  <c r="T134"/>
  <c r="S134"/>
  <c r="R134"/>
  <c r="Q134"/>
  <c r="P134"/>
  <c r="O134"/>
  <c r="N134"/>
  <c r="M134"/>
  <c r="L134"/>
  <c r="K134"/>
  <c r="J134"/>
  <c r="I134"/>
  <c r="H134"/>
  <c r="G134"/>
  <c r="E134"/>
  <c r="F133"/>
  <c r="AE132"/>
  <c r="F132" s="1"/>
  <c r="F131"/>
  <c r="F130"/>
  <c r="AG129"/>
  <c r="AF129"/>
  <c r="AD129"/>
  <c r="AC129"/>
  <c r="AB129"/>
  <c r="AA129"/>
  <c r="Z129"/>
  <c r="Y129"/>
  <c r="X129"/>
  <c r="W129"/>
  <c r="V129"/>
  <c r="U129"/>
  <c r="T129"/>
  <c r="S129"/>
  <c r="R129"/>
  <c r="Q129"/>
  <c r="P129"/>
  <c r="O129"/>
  <c r="N129"/>
  <c r="M129"/>
  <c r="L129"/>
  <c r="K129"/>
  <c r="J129"/>
  <c r="I129"/>
  <c r="H129"/>
  <c r="G129"/>
  <c r="E129"/>
  <c r="AE128"/>
  <c r="F128" s="1"/>
  <c r="AE127"/>
  <c r="F127" s="1"/>
  <c r="AE126"/>
  <c r="F126" s="1"/>
  <c r="F125"/>
  <c r="F124"/>
  <c r="AE123"/>
  <c r="F123" s="1"/>
  <c r="AE122"/>
  <c r="F122" s="1"/>
  <c r="AG121"/>
  <c r="AF121"/>
  <c r="AD121"/>
  <c r="AC121"/>
  <c r="AB121"/>
  <c r="AA121"/>
  <c r="Z121"/>
  <c r="Y121"/>
  <c r="X121"/>
  <c r="W121"/>
  <c r="V121"/>
  <c r="U121"/>
  <c r="T121"/>
  <c r="S121"/>
  <c r="R121"/>
  <c r="Q121"/>
  <c r="P121"/>
  <c r="O121"/>
  <c r="N121"/>
  <c r="M121"/>
  <c r="L121"/>
  <c r="K121"/>
  <c r="J121"/>
  <c r="I121"/>
  <c r="H121"/>
  <c r="G121"/>
  <c r="E121"/>
  <c r="AE120"/>
  <c r="F120" s="1"/>
  <c r="AE119"/>
  <c r="F119" s="1"/>
  <c r="AE118"/>
  <c r="F118" s="1"/>
  <c r="AE117"/>
  <c r="F117" s="1"/>
  <c r="AE116"/>
  <c r="F116" s="1"/>
  <c r="F115"/>
  <c r="AE114"/>
  <c r="F114" s="1"/>
  <c r="F113"/>
  <c r="F112"/>
  <c r="AE111"/>
  <c r="F111" s="1"/>
  <c r="AE110"/>
  <c r="F110" s="1"/>
  <c r="AE109"/>
  <c r="F109" s="1"/>
  <c r="AE108"/>
  <c r="F108" s="1"/>
  <c r="F107"/>
  <c r="AE106"/>
  <c r="F106" s="1"/>
  <c r="AE105"/>
  <c r="AG104"/>
  <c r="AF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E104"/>
  <c r="AE103"/>
  <c r="F103" s="1"/>
  <c r="F102"/>
  <c r="B102"/>
  <c r="AE101"/>
  <c r="F101" s="1"/>
  <c r="B101"/>
  <c r="AG100"/>
  <c r="AF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E100"/>
  <c r="F97"/>
  <c r="B97"/>
  <c r="AE96"/>
  <c r="F96" s="1"/>
  <c r="B96"/>
  <c r="AE95"/>
  <c r="F95" s="1"/>
  <c r="B95"/>
  <c r="AE94"/>
  <c r="F94" s="1"/>
  <c r="B94"/>
  <c r="AE93"/>
  <c r="F93" s="1"/>
  <c r="B93"/>
  <c r="F92"/>
  <c r="B92"/>
  <c r="AG91"/>
  <c r="AF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E91"/>
  <c r="J90" l="1"/>
  <c r="N90"/>
  <c r="R90"/>
  <c r="V90"/>
  <c r="Z90"/>
  <c r="AD90"/>
  <c r="S90"/>
  <c r="K90"/>
  <c r="W90"/>
  <c r="AF90"/>
  <c r="H90"/>
  <c r="L90"/>
  <c r="P90"/>
  <c r="T90"/>
  <c r="X90"/>
  <c r="AB90"/>
  <c r="AG90"/>
  <c r="G90"/>
  <c r="O90"/>
  <c r="AA90"/>
  <c r="I90"/>
  <c r="M90"/>
  <c r="Q90"/>
  <c r="U90"/>
  <c r="Y90"/>
  <c r="AC90"/>
  <c r="AE104"/>
  <c r="F184"/>
  <c r="F213"/>
  <c r="F212" s="1"/>
  <c r="F187"/>
  <c r="F200"/>
  <c r="F129"/>
  <c r="AE190"/>
  <c r="AE206"/>
  <c r="AE229"/>
  <c r="AE100"/>
  <c r="AE210"/>
  <c r="AE236"/>
  <c r="F91"/>
  <c r="AE129"/>
  <c r="F134"/>
  <c r="F177"/>
  <c r="F192"/>
  <c r="F216"/>
  <c r="AE233"/>
  <c r="AE242"/>
  <c r="F100"/>
  <c r="F161"/>
  <c r="F105"/>
  <c r="F104" s="1"/>
  <c r="F203"/>
  <c r="F233"/>
  <c r="AE200"/>
  <c r="F208"/>
  <c r="F206" s="1"/>
  <c r="F226"/>
  <c r="F225" s="1"/>
  <c r="F121"/>
  <c r="AE177"/>
  <c r="AE121"/>
  <c r="AE134"/>
  <c r="AE187"/>
  <c r="AE192"/>
  <c r="AE203"/>
  <c r="AE216"/>
  <c r="AE227"/>
  <c r="AE238"/>
  <c r="AE91"/>
  <c r="AE161"/>
  <c r="F90" l="1"/>
  <c r="AE90"/>
  <c r="D10" i="12" l="1"/>
  <c r="E10" s="1"/>
  <c r="AE26" i="8" l="1"/>
  <c r="F26" s="1"/>
  <c r="B26"/>
  <c r="AE51" l="1"/>
  <c r="E17" l="1"/>
  <c r="E19"/>
  <c r="E28"/>
  <c r="E30"/>
  <c r="E32"/>
  <c r="E34"/>
  <c r="E37"/>
  <c r="E44"/>
  <c r="E40" s="1"/>
  <c r="E46"/>
  <c r="E48"/>
  <c r="E52"/>
  <c r="E54"/>
  <c r="E56"/>
  <c r="E58"/>
  <c r="E62"/>
  <c r="E64"/>
  <c r="E66"/>
  <c r="E16" l="1"/>
  <c r="E15"/>
  <c r="F51" l="1"/>
  <c r="AE65" l="1"/>
  <c r="F65" s="1"/>
  <c r="F64" s="1"/>
  <c r="E44" i="10" l="1"/>
  <c r="D44"/>
  <c r="C44"/>
  <c r="F67" i="8"/>
  <c r="F66" s="1"/>
  <c r="B67"/>
  <c r="AG66"/>
  <c r="AF66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  <c r="G66"/>
  <c r="B65"/>
  <c r="AG64"/>
  <c r="AF64"/>
  <c r="AD64"/>
  <c r="AC64"/>
  <c r="AB64"/>
  <c r="AA64"/>
  <c r="Z64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3"/>
  <c r="F62" s="1"/>
  <c r="B63"/>
  <c r="AG62"/>
  <c r="AF62"/>
  <c r="AD62"/>
  <c r="AC62"/>
  <c r="AB62"/>
  <c r="AA62"/>
  <c r="Z62"/>
  <c r="Y62"/>
  <c r="X62"/>
  <c r="W62"/>
  <c r="V62"/>
  <c r="U62"/>
  <c r="T62"/>
  <c r="S62"/>
  <c r="R62"/>
  <c r="Q62"/>
  <c r="P62"/>
  <c r="O62"/>
  <c r="N62"/>
  <c r="M62"/>
  <c r="L62"/>
  <c r="K62"/>
  <c r="J62"/>
  <c r="I62"/>
  <c r="H62"/>
  <c r="G62"/>
  <c r="F61"/>
  <c r="B61"/>
  <c r="P60"/>
  <c r="B60"/>
  <c r="F59"/>
  <c r="B59"/>
  <c r="AG58"/>
  <c r="AF58"/>
  <c r="AD58"/>
  <c r="AC58"/>
  <c r="AB58"/>
  <c r="AA58"/>
  <c r="Z58"/>
  <c r="Y58"/>
  <c r="X58"/>
  <c r="W58"/>
  <c r="V58"/>
  <c r="U58"/>
  <c r="T58"/>
  <c r="S58"/>
  <c r="R58"/>
  <c r="Q58"/>
  <c r="O58"/>
  <c r="N58"/>
  <c r="M58"/>
  <c r="L58"/>
  <c r="K58"/>
  <c r="J58"/>
  <c r="I58"/>
  <c r="H58"/>
  <c r="G58"/>
  <c r="F57"/>
  <c r="F56" s="1"/>
  <c r="B57"/>
  <c r="AG56"/>
  <c r="AF56"/>
  <c r="AD56"/>
  <c r="AC56"/>
  <c r="AB56"/>
  <c r="AA56"/>
  <c r="Z56"/>
  <c r="Y56"/>
  <c r="X56"/>
  <c r="W56"/>
  <c r="V56"/>
  <c r="U56"/>
  <c r="T56"/>
  <c r="S56"/>
  <c r="R56"/>
  <c r="Q56"/>
  <c r="P56"/>
  <c r="O56"/>
  <c r="N56"/>
  <c r="M56"/>
  <c r="L56"/>
  <c r="K56"/>
  <c r="J56"/>
  <c r="I56"/>
  <c r="H56"/>
  <c r="G56"/>
  <c r="AE55"/>
  <c r="F55" s="1"/>
  <c r="F54" s="1"/>
  <c r="B55"/>
  <c r="AG54"/>
  <c r="AF54"/>
  <c r="AD54"/>
  <c r="AC54"/>
  <c r="AB54"/>
  <c r="AA54"/>
  <c r="Z54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3"/>
  <c r="F52" s="1"/>
  <c r="B53"/>
  <c r="AG52"/>
  <c r="AF52"/>
  <c r="AD52"/>
  <c r="AC52"/>
  <c r="AB52"/>
  <c r="AA52"/>
  <c r="Z52"/>
  <c r="Y52"/>
  <c r="X52"/>
  <c r="W52"/>
  <c r="V52"/>
  <c r="U52"/>
  <c r="T52"/>
  <c r="S52"/>
  <c r="R52"/>
  <c r="Q52"/>
  <c r="P52"/>
  <c r="O52"/>
  <c r="N52"/>
  <c r="M52"/>
  <c r="L52"/>
  <c r="K52"/>
  <c r="J52"/>
  <c r="I52"/>
  <c r="H52"/>
  <c r="G52"/>
  <c r="B51"/>
  <c r="F50"/>
  <c r="B50"/>
  <c r="F49"/>
  <c r="B49"/>
  <c r="AG48"/>
  <c r="AF48"/>
  <c r="AD48"/>
  <c r="AC48"/>
  <c r="AB48"/>
  <c r="AA48"/>
  <c r="Z48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AE47"/>
  <c r="F47" s="1"/>
  <c r="F46" s="1"/>
  <c r="B47"/>
  <c r="AG46"/>
  <c r="AF46"/>
  <c r="AD46"/>
  <c r="AC46"/>
  <c r="AB46"/>
  <c r="AA46"/>
  <c r="Z46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5"/>
  <c r="F44" s="1"/>
  <c r="B45"/>
  <c r="AG44"/>
  <c r="AF44"/>
  <c r="AD44"/>
  <c r="AC44"/>
  <c r="AB44"/>
  <c r="AA44"/>
  <c r="Z44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AE43"/>
  <c r="F43" s="1"/>
  <c r="B43"/>
  <c r="AE42"/>
  <c r="F42" s="1"/>
  <c r="B42"/>
  <c r="AE41"/>
  <c r="F41" s="1"/>
  <c r="B41"/>
  <c r="AG40"/>
  <c r="AF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39"/>
  <c r="B39"/>
  <c r="F38"/>
  <c r="B38"/>
  <c r="AG37"/>
  <c r="AF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6"/>
  <c r="B36"/>
  <c r="AE35"/>
  <c r="F35" s="1"/>
  <c r="B35"/>
  <c r="AG34"/>
  <c r="AF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AE33"/>
  <c r="F33" s="1"/>
  <c r="F32" s="1"/>
  <c r="B33"/>
  <c r="AG32"/>
  <c r="AF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1"/>
  <c r="F30" s="1"/>
  <c r="B31"/>
  <c r="AG30"/>
  <c r="AF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AE29"/>
  <c r="F29" s="1"/>
  <c r="F28" s="1"/>
  <c r="B29"/>
  <c r="AG28"/>
  <c r="AF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AE27"/>
  <c r="F27" s="1"/>
  <c r="B27"/>
  <c r="AE25"/>
  <c r="F25" s="1"/>
  <c r="B25"/>
  <c r="F24"/>
  <c r="B24"/>
  <c r="F23"/>
  <c r="B23"/>
  <c r="AE22"/>
  <c r="F22" s="1"/>
  <c r="B22"/>
  <c r="AE21"/>
  <c r="F21" s="1"/>
  <c r="B21"/>
  <c r="F20"/>
  <c r="B20"/>
  <c r="AG19"/>
  <c r="AF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AE18"/>
  <c r="B18"/>
  <c r="AG17"/>
  <c r="AF17"/>
  <c r="AD17"/>
  <c r="AC17"/>
  <c r="AB17"/>
  <c r="AA17"/>
  <c r="Z17"/>
  <c r="Y17"/>
  <c r="X17"/>
  <c r="W17"/>
  <c r="V17"/>
  <c r="U17"/>
  <c r="T17"/>
  <c r="S17"/>
  <c r="R17"/>
  <c r="Q17"/>
  <c r="O17"/>
  <c r="N17"/>
  <c r="M17"/>
  <c r="L17"/>
  <c r="K17"/>
  <c r="J17"/>
  <c r="I17"/>
  <c r="H17"/>
  <c r="G17"/>
  <c r="Q16" l="1"/>
  <c r="Q15" s="1"/>
  <c r="U16"/>
  <c r="U15" s="1"/>
  <c r="Y16"/>
  <c r="Y15" s="1"/>
  <c r="AC16"/>
  <c r="AC15" s="1"/>
  <c r="I16"/>
  <c r="I15" s="1"/>
  <c r="M16"/>
  <c r="M15" s="1"/>
  <c r="R16"/>
  <c r="R15" s="1"/>
  <c r="V16"/>
  <c r="V15" s="1"/>
  <c r="Z16"/>
  <c r="Z15" s="1"/>
  <c r="AD16"/>
  <c r="AD15" s="1"/>
  <c r="J16"/>
  <c r="J15" s="1"/>
  <c r="N16"/>
  <c r="N15" s="1"/>
  <c r="S16"/>
  <c r="S15" s="1"/>
  <c r="W16"/>
  <c r="W15" s="1"/>
  <c r="AA16"/>
  <c r="AA15" s="1"/>
  <c r="AF16"/>
  <c r="AF15" s="1"/>
  <c r="G16"/>
  <c r="G15" s="1"/>
  <c r="K16"/>
  <c r="K15" s="1"/>
  <c r="O16"/>
  <c r="O15" s="1"/>
  <c r="T16"/>
  <c r="T15" s="1"/>
  <c r="X16"/>
  <c r="X15" s="1"/>
  <c r="AB16"/>
  <c r="AB15" s="1"/>
  <c r="AG16"/>
  <c r="AG15" s="1"/>
  <c r="H16"/>
  <c r="H15" s="1"/>
  <c r="L16"/>
  <c r="L15" s="1"/>
  <c r="F18"/>
  <c r="F17" s="1"/>
  <c r="F37"/>
  <c r="F19"/>
  <c r="F34"/>
  <c r="F40"/>
  <c r="F48"/>
  <c r="P58"/>
  <c r="F60"/>
  <c r="F58" s="1"/>
  <c r="AE52"/>
  <c r="AE54"/>
  <c r="AE56"/>
  <c r="AE66"/>
  <c r="AE64"/>
  <c r="AE58"/>
  <c r="AE62"/>
  <c r="AE17"/>
  <c r="AE40"/>
  <c r="AE32"/>
  <c r="AE46"/>
  <c r="AE19"/>
  <c r="AE30"/>
  <c r="AE44"/>
  <c r="AE34"/>
  <c r="AE48"/>
  <c r="AE37"/>
  <c r="AE28"/>
  <c r="AE16" l="1"/>
  <c r="AE15" s="1"/>
  <c r="P16"/>
  <c r="P15" s="1"/>
  <c r="F16"/>
  <c r="F15" s="1"/>
</calcChain>
</file>

<file path=xl/comments1.xml><?xml version="1.0" encoding="utf-8"?>
<comments xmlns="http://schemas.openxmlformats.org/spreadsheetml/2006/main">
  <authors>
    <author>Татьяна Николаевна Базжина</author>
    <author>Екатерина Александровна Бутылина</author>
  </authors>
  <commentList>
    <comment ref="AE51" authorId="0">
      <text>
        <r>
          <rPr>
            <b/>
            <sz val="9"/>
            <color indexed="81"/>
            <rFont val="Tahoma"/>
            <family val="2"/>
            <charset val="204"/>
          </rPr>
          <t>Татьяна Николаевна Базжина: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36"/>
            <color indexed="81"/>
            <rFont val="Tahoma"/>
            <family val="2"/>
            <charset val="204"/>
          </rPr>
          <t xml:space="preserve">Оплачено только 6284,85
</t>
        </r>
      </text>
    </comment>
    <comment ref="C239" authorId="1">
      <text>
        <r>
          <rPr>
            <sz val="36"/>
            <color indexed="81"/>
            <rFont val="Tahoma"/>
            <family val="2"/>
            <charset val="204"/>
          </rPr>
          <t xml:space="preserve">
корп. 1
</t>
        </r>
      </text>
    </comment>
  </commentList>
</comments>
</file>

<file path=xl/sharedStrings.xml><?xml version="1.0" encoding="utf-8"?>
<sst xmlns="http://schemas.openxmlformats.org/spreadsheetml/2006/main" count="2804" uniqueCount="907">
  <si>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</si>
  <si>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</si>
  <si>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</si>
  <si>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</si>
  <si>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</si>
  <si>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</si>
  <si>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</si>
  <si>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</si>
  <si>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</si>
  <si>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</si>
  <si>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</si>
  <si>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</si>
  <si>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</si>
  <si>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</si>
  <si>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</si>
  <si>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</si>
  <si>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</si>
  <si>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</si>
  <si>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</si>
  <si>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строительный контроль</t>
  </si>
  <si>
    <t>разработка проектной документации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</si>
  <si>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</si>
  <si>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</si>
  <si>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</si>
  <si>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</si>
  <si>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</si>
  <si>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</si>
  <si>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</si>
  <si>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</si>
  <si>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</si>
  <si>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</si>
  <si>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Суздальский р-н, Боголюбово п, Западная ул, 5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</si>
  <si>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</si>
  <si>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</si>
  <si>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</si>
  <si>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</si>
  <si>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</si>
  <si>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</si>
  <si>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Наименование организации, осуществляющей управление МКД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</si>
  <si>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</si>
  <si>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</si>
  <si>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</si>
  <si>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</si>
  <si>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</si>
  <si>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чел.</t>
  </si>
  <si>
    <t>руб./кв.м</t>
  </si>
  <si>
    <t>РО</t>
  </si>
  <si>
    <t>НУ</t>
  </si>
  <si>
    <t>Каменные, кирпичные</t>
  </si>
  <si>
    <t>-</t>
  </si>
  <si>
    <t>УК</t>
  </si>
  <si>
    <t>ООО"НАШ ДОМ"</t>
  </si>
  <si>
    <t>МКП г. Судогда "Коммунальщик"</t>
  </si>
  <si>
    <t>ООО "УК"Наш Дом"</t>
  </si>
  <si>
    <t>МУМП ЖКХ п.Ставрово</t>
  </si>
  <si>
    <t>ООО УК "Пономарев С.А."</t>
  </si>
  <si>
    <t>2</t>
  </si>
  <si>
    <t>1</t>
  </si>
  <si>
    <t>1961</t>
  </si>
  <si>
    <t>4</t>
  </si>
  <si>
    <t>Панельные</t>
  </si>
  <si>
    <t>3</t>
  </si>
  <si>
    <t>1981</t>
  </si>
  <si>
    <t>Ж/б панели</t>
  </si>
  <si>
    <t>МУП "ЖКХ" ЗАТО г. Радужный</t>
  </si>
  <si>
    <t>ООО "Домоуправ"</t>
  </si>
  <si>
    <t>ООО "Верба"</t>
  </si>
  <si>
    <t>ООО УК "Партнер"</t>
  </si>
  <si>
    <t>Деревянные</t>
  </si>
  <si>
    <t>ООО "ГУК"</t>
  </si>
  <si>
    <t>Блочные</t>
  </si>
  <si>
    <t>ТСЖ</t>
  </si>
  <si>
    <t>ООО "МУПЖРЭП"</t>
  </si>
  <si>
    <t>ООО "Жилищник-Центр"</t>
  </si>
  <si>
    <t>1976</t>
  </si>
  <si>
    <t>5</t>
  </si>
  <si>
    <t>1977</t>
  </si>
  <si>
    <t>1948</t>
  </si>
  <si>
    <t>1985</t>
  </si>
  <si>
    <t>1983</t>
  </si>
  <si>
    <t>1966</t>
  </si>
  <si>
    <t>Радужный г, 1-й кв-л, 26</t>
  </si>
  <si>
    <t>Александров г, Маяковского ул, 1</t>
  </si>
  <si>
    <t>Вязниковский р-н, Никологоры п, Подгорье ул, 13</t>
  </si>
  <si>
    <t>ООО "Балремстрой"</t>
  </si>
  <si>
    <t>Наименование МО</t>
  </si>
  <si>
    <t>Общая
площадь
МКД, всего</t>
  </si>
  <si>
    <t>Количество МКД</t>
  </si>
  <si>
    <t>Стоимость капитального ремонта, всего</t>
  </si>
  <si>
    <t>кв.м.</t>
  </si>
  <si>
    <t>Х</t>
  </si>
  <si>
    <t>Итого по город Ковров</t>
  </si>
  <si>
    <t>Ковров г, Железнодорожная ул, 55</t>
  </si>
  <si>
    <t>Ковров г, Ватутина ул, 2в</t>
  </si>
  <si>
    <t>ООО УК "Согласие"</t>
  </si>
  <si>
    <t>ООО "Комсервис+"</t>
  </si>
  <si>
    <t>Итого по город Александров</t>
  </si>
  <si>
    <t>Итого по поселок Балакирево</t>
  </si>
  <si>
    <t>Итого по поселок Никологоры</t>
  </si>
  <si>
    <t>Итого по Октябрьское</t>
  </si>
  <si>
    <t>Итого по город Вязники</t>
  </si>
  <si>
    <t>Итого по город Гороховец</t>
  </si>
  <si>
    <t>Итого по Куприяновское</t>
  </si>
  <si>
    <t>Итого по город Камешково</t>
  </si>
  <si>
    <t>Итого по Вахромеевское</t>
  </si>
  <si>
    <t>Итого по город Киржач</t>
  </si>
  <si>
    <t>Итого по поселок Мелехово</t>
  </si>
  <si>
    <t>Итого по Новосельское</t>
  </si>
  <si>
    <t>Итого по город Кольчугино</t>
  </si>
  <si>
    <t>Итого по Раздольевское</t>
  </si>
  <si>
    <t>Итого по город Меленки</t>
  </si>
  <si>
    <t>Итого по Нагорное</t>
  </si>
  <si>
    <t>Итого по город Покров</t>
  </si>
  <si>
    <t>Итого по город Петушки</t>
  </si>
  <si>
    <t>Итого по Малышевское</t>
  </si>
  <si>
    <t>Итого по поселок Ставрово</t>
  </si>
  <si>
    <t>Итого по город Лакинск</t>
  </si>
  <si>
    <t>Итого по город Собинка</t>
  </si>
  <si>
    <t>Итого по Мошокское</t>
  </si>
  <si>
    <t>Итого по Муромцевское</t>
  </si>
  <si>
    <t>Итого по город Суздаль</t>
  </si>
  <si>
    <t>Итого по Боголюбовское</t>
  </si>
  <si>
    <t>Итого по Новоалександровское</t>
  </si>
  <si>
    <t>Итого по город Юрьев-Польский</t>
  </si>
  <si>
    <t>Итого по Фоминское</t>
  </si>
  <si>
    <t>Итого по Брызгаловское</t>
  </si>
  <si>
    <t>Итого по Павловское</t>
  </si>
  <si>
    <t>Итого по Копнинское</t>
  </si>
  <si>
    <t>Итого по Пекшинское</t>
  </si>
  <si>
    <t>Итого по поселок Мстёра</t>
  </si>
  <si>
    <t>Итого по город Курлово</t>
  </si>
  <si>
    <t>X</t>
  </si>
  <si>
    <t>город Александров</t>
  </si>
  <si>
    <t>поселок Балакирево</t>
  </si>
  <si>
    <t>поселок Никологоры</t>
  </si>
  <si>
    <t>поселок Мстёра</t>
  </si>
  <si>
    <t>Октябрьское</t>
  </si>
  <si>
    <t>город Вязники</t>
  </si>
  <si>
    <t>город Гороховец</t>
  </si>
  <si>
    <t>Куприяновское</t>
  </si>
  <si>
    <t>Брызгаловское</t>
  </si>
  <si>
    <t>город Киржач</t>
  </si>
  <si>
    <t>поселок Мелехово</t>
  </si>
  <si>
    <t>Новосельское</t>
  </si>
  <si>
    <t>город Кольчугино</t>
  </si>
  <si>
    <t>Раздольевское</t>
  </si>
  <si>
    <t>город Меленки</t>
  </si>
  <si>
    <t>Нагорное</t>
  </si>
  <si>
    <t>город Покров</t>
  </si>
  <si>
    <t>Пекшинское</t>
  </si>
  <si>
    <t>город Петушки</t>
  </si>
  <si>
    <t>Копнинское</t>
  </si>
  <si>
    <t>поселок Ставрово</t>
  </si>
  <si>
    <t>город Собинка</t>
  </si>
  <si>
    <t>Мошокское</t>
  </si>
  <si>
    <t>город Суздаль</t>
  </si>
  <si>
    <t>Боголюбовское</t>
  </si>
  <si>
    <t>город Ковров</t>
  </si>
  <si>
    <t>Фоминское</t>
  </si>
  <si>
    <t>город Лакинск</t>
  </si>
  <si>
    <t>Муромцевское</t>
  </si>
  <si>
    <t>Новоалександровское</t>
  </si>
  <si>
    <t>Малышевское</t>
  </si>
  <si>
    <t>от _____________ № ________</t>
  </si>
  <si>
    <t>Сводный краткосрочный план</t>
  </si>
  <si>
    <t xml:space="preserve">* </t>
  </si>
  <si>
    <t>**</t>
  </si>
  <si>
    <t>виды, установленные ч.1 ст.166 Жилищного Кодекса РФ</t>
  </si>
  <si>
    <t>ООО "ЖЭЦ-Управление" </t>
  </si>
  <si>
    <t>ООО "ОДК" </t>
  </si>
  <si>
    <t>ООО УК "Старый город"</t>
  </si>
  <si>
    <t>ООО "Оникс"</t>
  </si>
  <si>
    <t xml:space="preserve">планируемое количество многоквартирных домов, подлежащих капитальному ремонту  и объем средств, необходимый для реализации мероприятий сводного краткосрочного плана приведены в таблице №2   </t>
  </si>
  <si>
    <t>Плановый год капитального ремонта</t>
  </si>
  <si>
    <t>Уровень оплаты взносов на капитальный ремонт МКД</t>
  </si>
  <si>
    <t>капитальный ремонт внутридомовых инженерных систем вентиляции и дымоудаления при капитальном ремонте         крыш</t>
  </si>
  <si>
    <t>ремонт выпусков системы водоотведения до первого смотрового колодца при     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</si>
  <si>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       (тепловой энергии, горячей и холодной воды, электрической энергии, газа), с                       оборудованием устройств автоматизации и диспетчеризации, при проведении              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</si>
  <si>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               ремонта внутридомовых инженерных систем теплоснабжения</t>
  </si>
  <si>
    <t>авторский надзор при выполнении работ по  МКД, имеющих статус объекта культурного наследия (памятника истории и культуры) народов РФ</t>
  </si>
  <si>
    <t>%</t>
  </si>
  <si>
    <t>Многоквартирные дома, имеющие полноту собираемости взносов на капитальный ремонт в объеме 100 % и выше от сумм начисленных взносов на капитальный ремонт</t>
  </si>
  <si>
    <t>Александров г, Лермонтова ул, 13</t>
  </si>
  <si>
    <t>Владимир г, Дворянская ул, 15</t>
  </si>
  <si>
    <t>Владимир г, Алябьева ул, 17А</t>
  </si>
  <si>
    <t>Владимир г, Алябьева ул, 9</t>
  </si>
  <si>
    <t>Гороховец г, Краснова ул, 8</t>
  </si>
  <si>
    <t>Гусь-Хрустальный г, Орловская ул, 24</t>
  </si>
  <si>
    <t>Гусь-Хрустальный г, Заводской пер, 8</t>
  </si>
  <si>
    <t>Киржач г, Гастелло ул, 1</t>
  </si>
  <si>
    <t>Ковров г, Грибоедова ул, 70</t>
  </si>
  <si>
    <t>Кольчугино г, Ким ул, 18</t>
  </si>
  <si>
    <t>Меленки г, Коминтерна ул, 104</t>
  </si>
  <si>
    <t>Муром г, Воровского ул, 99</t>
  </si>
  <si>
    <t>Муром г, Воровского ул, 16А</t>
  </si>
  <si>
    <t>Муром г, Экземплярского ул, 13А</t>
  </si>
  <si>
    <t>Собинский р-н, Ставрово п, Октябрьская ул, 109</t>
  </si>
  <si>
    <t>Суздальский р-н, Боголюбово п, Западная ул, 7</t>
  </si>
  <si>
    <t>Владимир г, Ново-Ямской пер, 6б</t>
  </si>
  <si>
    <t>Судогодский р-н, Муромцево п, Октябрьская ул, 13</t>
  </si>
  <si>
    <t>Собинский р-н, Асерхово п, Железнодорожная ул, 5</t>
  </si>
  <si>
    <t>2019-2021</t>
  </si>
  <si>
    <t>2017-2019</t>
  </si>
  <si>
    <t>2018-2020</t>
  </si>
  <si>
    <t>2020-2022</t>
  </si>
  <si>
    <t>2022-2024</t>
  </si>
  <si>
    <t>2021-2023</t>
  </si>
  <si>
    <t>2025-2027</t>
  </si>
  <si>
    <t>Киржач г, Красный Октябрь мкр, Фурманова ул, 22</t>
  </si>
  <si>
    <t>Итого по город Владимир</t>
  </si>
  <si>
    <t>Итого по город Гусь-Хрустальный</t>
  </si>
  <si>
    <t>Итого по город Муром</t>
  </si>
  <si>
    <t>Итого по Асерховское</t>
  </si>
  <si>
    <t>Итого по субъекту:</t>
  </si>
  <si>
    <t>Адрес многоквартирного дома (далее - МКД)</t>
  </si>
  <si>
    <t>Количество жителей, зарегистрированных в МКД на дату утверждения краткосрочного плана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</si>
  <si>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</si>
  <si>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в том числе жилых помещений, находящихся в собственности граждан</t>
  </si>
  <si>
    <t>ТСН "Дворянская-15"</t>
  </si>
  <si>
    <t>ООО "ЖРЭП №8"</t>
  </si>
  <si>
    <t>МУП города Владимиру "ГУК"</t>
  </si>
  <si>
    <t>"Березка"</t>
  </si>
  <si>
    <t>Планируемое количество многоквартирных домов, подлежащих капитальному ремонту и объем средств, необходимый для реализации мероприятий краткосрочного плана</t>
  </si>
  <si>
    <t>Количество
жителей,
зарегистрированных в МКД
на дату
утверждения
программы</t>
  </si>
  <si>
    <t>Итого по программе</t>
  </si>
  <si>
    <t>Вязники г, Металлистов ул, 23а</t>
  </si>
  <si>
    <t>Суздаль г, Гоголя ул, 45</t>
  </si>
  <si>
    <t>ООО"ЖЭК№3"</t>
  </si>
  <si>
    <t>ООО "Жилищник" </t>
  </si>
  <si>
    <t>ООО "Жилищник-Центр" </t>
  </si>
  <si>
    <t>Владимир г, Березина ул, 3</t>
  </si>
  <si>
    <t>Суздальский р-н, Новое с, Молодежная ул, 1</t>
  </si>
  <si>
    <t>ООО "УК СОДРУЖЕСТВО"</t>
  </si>
  <si>
    <t>Владимир г, Кирова ул, 1А</t>
  </si>
  <si>
    <t>Владимир г, Чапаева ул, 6</t>
  </si>
  <si>
    <t>Владимир г, Комиссарова ул, 12а</t>
  </si>
  <si>
    <t>Муром г, Ковровская ул, 16</t>
  </si>
  <si>
    <t>Итого по Новлянское</t>
  </si>
  <si>
    <t>ООО"УК"Наш Дом"</t>
  </si>
  <si>
    <t>ООО "УК Содружество"</t>
  </si>
  <si>
    <t>МКП Владимир ЖКХ</t>
  </si>
  <si>
    <t>Монолитные</t>
  </si>
  <si>
    <t>ООО «Фортуна» </t>
  </si>
  <si>
    <t>ООО "УО "РМД"</t>
  </si>
  <si>
    <t>ООО "ЖИЛСТРОЙ"</t>
  </si>
  <si>
    <t>ООО "Достояние"</t>
  </si>
  <si>
    <t>город Владимир</t>
  </si>
  <si>
    <t>город Гусь-Хрустальный</t>
  </si>
  <si>
    <t>город Муром</t>
  </si>
  <si>
    <t>Асерховское</t>
  </si>
  <si>
    <t>Новлянское</t>
  </si>
  <si>
    <t>МКП г.Владимира «ЖКХ»</t>
  </si>
  <si>
    <t>ООО УК "Сфера"</t>
  </si>
  <si>
    <t>Владимир г, Каманина ул, 27</t>
  </si>
  <si>
    <t>МКП г.Владимир "ЖКХ"</t>
  </si>
  <si>
    <t>Ковровский р-н, Мелехово пгт, Советская ул, 14</t>
  </si>
  <si>
    <t>Камешковский р-н, Дружба п, Мира ул, 9</t>
  </si>
  <si>
    <t>Многоквартирные дома, при ремонте которых подрядными организациями не устранены недостатки в установленные договорами сроки своими силами</t>
  </si>
  <si>
    <t>Итого по округ Муром</t>
  </si>
  <si>
    <t>Итого по ЗАТО город Радужный</t>
  </si>
  <si>
    <t>Итого по Второвское</t>
  </si>
  <si>
    <t>Александров г, Терешковой ул, 7 корп. 3</t>
  </si>
  <si>
    <t>Александров г, Терешковой ул, 8</t>
  </si>
  <si>
    <t>Александров г, Вокзальная ул, 20</t>
  </si>
  <si>
    <t>Александров г, Лермонтова ул, 24 корп. 1</t>
  </si>
  <si>
    <t>Александров г, Ленина ул, 1 корп. 1</t>
  </si>
  <si>
    <t>Вязниковский р-н, Никологоры п, 1-я Пролетарская ул, 61</t>
  </si>
  <si>
    <t>Вязниковский р-н, Никологоры п, Е.Игошина ул, 22а</t>
  </si>
  <si>
    <t>Владимир г, Ленина пр-кт, 27Б</t>
  </si>
  <si>
    <t>Владимир г, Оргтруд мкр, Молодежная ул, 12</t>
  </si>
  <si>
    <t>Владимир г, Лермонтова ул, 22</t>
  </si>
  <si>
    <t>Владимир г, Добросельская ул, 193</t>
  </si>
  <si>
    <t>Владимир г, Оргтруд мкр, Молодежная ул, 11</t>
  </si>
  <si>
    <t>Владимир г, Горького ул, 63</t>
  </si>
  <si>
    <t>Владимир г, Полины Осипенко ул, 4</t>
  </si>
  <si>
    <t>Владимир г, Рабочий спуск, 3</t>
  </si>
  <si>
    <t>Владимир г, Луначарского ул, 33</t>
  </si>
  <si>
    <t>Вязники г, Железнодорожная ул, 44</t>
  </si>
  <si>
    <t>Вязники г, Нововязники мкр, Юбилейная ул, 6</t>
  </si>
  <si>
    <t>Вязники г, Ленина ул, 8</t>
  </si>
  <si>
    <t>Вязники г, Железнодорожная ул, 51</t>
  </si>
  <si>
    <t>Вязники г, Новая ул, 12</t>
  </si>
  <si>
    <t>Вязники г, Герцена ул, 38а</t>
  </si>
  <si>
    <t>Вязниковский р-н, Большевысоково д, Садовая ул, 13</t>
  </si>
  <si>
    <t>Вязниковский р-н, Октябрьский п, Советская ул, 1</t>
  </si>
  <si>
    <t>Вязниковский р-н, Октябрьский п, Первомайская ул, 2</t>
  </si>
  <si>
    <t>Вязниковский р-н, Лукново п, Фабричная ул, 25</t>
  </si>
  <si>
    <t>Ковров г, Брюсова ул, 58</t>
  </si>
  <si>
    <t>Ковров г, Ленина пр-кт, 11</t>
  </si>
  <si>
    <t>Ковров г, Тимофея Павловского ул, 2</t>
  </si>
  <si>
    <t>Ковров г, Текстильная ул, 2а</t>
  </si>
  <si>
    <t>Ковров г, Абельмана ул, 38</t>
  </si>
  <si>
    <t>Ковров г, Ленина пр-кт, 7</t>
  </si>
  <si>
    <t>Ковров г, Дегтярева ул, 4</t>
  </si>
  <si>
    <t>Ковров г, Ленина пр-кт, 9</t>
  </si>
  <si>
    <t>Ковров г, Ленина пр-кт, 38А</t>
  </si>
  <si>
    <t>Ковров г, Либерецкая ул, 4</t>
  </si>
  <si>
    <t>Ковров г, Чернышевского ул, 2</t>
  </si>
  <si>
    <t>Ковров г, Либерецкая ул, 9</t>
  </si>
  <si>
    <t>Ковров г, Летняя ул, 35</t>
  </si>
  <si>
    <t>Ковров г, Социалистическая ул, 3</t>
  </si>
  <si>
    <t>Ковров г, Белинского ул, 3</t>
  </si>
  <si>
    <t>Ковров г, Дегтярева ул, 204</t>
  </si>
  <si>
    <t>Ковров г, Лесная ул, 11</t>
  </si>
  <si>
    <t>Ковров г, Ленина пр-кт, 18</t>
  </si>
  <si>
    <t>Муром г, Кирова ул, 30</t>
  </si>
  <si>
    <t>Муром г, Владимирская ул, 7</t>
  </si>
  <si>
    <t>Муром г, Энгельса ул, 1</t>
  </si>
  <si>
    <t>Муром г, Советская ул, 73А</t>
  </si>
  <si>
    <t>Муром г, Южная ул, 22</t>
  </si>
  <si>
    <t>Муром г, Воровского ул, 91а</t>
  </si>
  <si>
    <t>Муром г, Куйбышева ул, 1г</t>
  </si>
  <si>
    <t>Муром г, Пролетарская ул, 73</t>
  </si>
  <si>
    <t>Муром г, Владимирская ул, 6</t>
  </si>
  <si>
    <t>Муром г, Радиозаводское ш, 20</t>
  </si>
  <si>
    <t>Муром г, Серова ул, 40</t>
  </si>
  <si>
    <t>Радужный г, 1-й кв-л, 18</t>
  </si>
  <si>
    <t>Радужный г, 1-й кв-л, 23</t>
  </si>
  <si>
    <t>Радужный г, 1-й кв-л, 27</t>
  </si>
  <si>
    <t>Радужный г, 1-й кв-л, 29</t>
  </si>
  <si>
    <t>Вязниковский р-н, Мстёра ст, Мира ул, 1</t>
  </si>
  <si>
    <t>Вязниковский р-н, Мстёра ст, Мира ул, 2</t>
  </si>
  <si>
    <t>Камешковский р-н, Второво с, Молодежная ул, 5</t>
  </si>
  <si>
    <t>Суздальский р-н, Сновицы с, Школьная ул, 8</t>
  </si>
  <si>
    <t>Петушки г, Московская ул, 9</t>
  </si>
  <si>
    <t>Петушки г, Луговая ул, 2</t>
  </si>
  <si>
    <t>Петушки г, Лесная ул, 20</t>
  </si>
  <si>
    <t>Камешковский р-н, им Карла Маркса п, Карла Маркса ул, 2</t>
  </si>
  <si>
    <t>Киржач г, Красный Октябрь мкр, Пушкина ул, 26</t>
  </si>
  <si>
    <t>Петушинский р-н, Покров г, Больничный проезд, 6</t>
  </si>
  <si>
    <t>Петушинский р-н, Покров г, Ленина ул, 124</t>
  </si>
  <si>
    <t>Петушинский р-н, Труд п, Советская ул, 1</t>
  </si>
  <si>
    <t>Петушинский р-н, Труд п, Советская ул, 2</t>
  </si>
  <si>
    <t>Судогодский р-н, Бег п, Октябрьская ул, 15</t>
  </si>
  <si>
    <t>Гороховецкий р-н, Выезд д, Полевая ул, 3</t>
  </si>
  <si>
    <t>Собинский р-н, Лакинск г, Пушкина ул, 11</t>
  </si>
  <si>
    <t>Собинский р-н, Лакинск г, Мира ул, 7а</t>
  </si>
  <si>
    <t>Собинский р-н, Лакинск г, Ленина пр-кт, 8/3</t>
  </si>
  <si>
    <t>Селивановский р-н, Новлянка д, Совхозная ул, 26</t>
  </si>
  <si>
    <t>Селивановский р-н, Малышево с, Школьная ул, 4</t>
  </si>
  <si>
    <t>Ковровский р-н, Первомайский п, 17</t>
  </si>
  <si>
    <t>Петушинский р-н, Головино д, Полевая ул, 1</t>
  </si>
  <si>
    <t>Судогодский р-н, Мошок с, Заводская ул, 26</t>
  </si>
  <si>
    <t>Владимир г, Добросельская ул, 198</t>
  </si>
  <si>
    <t>Владимир г, Никитская ул, 23</t>
  </si>
  <si>
    <t>Владимир г, Труда ул, 8</t>
  </si>
  <si>
    <t>Владимир г, Усти-на-Лабе ул, 17</t>
  </si>
  <si>
    <t>Ковров г, Ленина пр-кт, 25</t>
  </si>
  <si>
    <t>Ковров г, Муромская ул, 1</t>
  </si>
  <si>
    <t>Ковров г, Тимофея Павловского ул, 6</t>
  </si>
  <si>
    <t>Кольчугинский р-н, Дубки п, Совхозная ул, 4</t>
  </si>
  <si>
    <t>Кольчугинский р-н, Дубки п, Совхозная ул, 6</t>
  </si>
  <si>
    <t>Муром г, Пролетарская ул, 41</t>
  </si>
  <si>
    <t>Петушки г, Спортивная ул, 6а</t>
  </si>
  <si>
    <t>ООО "ЖКХ "УЮТ""</t>
  </si>
  <si>
    <t>ООО "ЖКХ "УЮТ" </t>
  </si>
  <si>
    <t>МКП г. Владимира "ЖКХ"</t>
  </si>
  <si>
    <t>ООО "ЖРЭП № 8" </t>
  </si>
  <si>
    <t>ООО "Наш дом" </t>
  </si>
  <si>
    <t>ООО "ЖЭК № 4"</t>
  </si>
  <si>
    <t>ООО"ЖЭК№3" </t>
  </si>
  <si>
    <t>ООО "УК Сфера"</t>
  </si>
  <si>
    <t>ООО УК "Ковровтеплострой"</t>
  </si>
  <si>
    <t>ООО "УК "Веста" </t>
  </si>
  <si>
    <t>ООО "УМД Континент" </t>
  </si>
  <si>
    <t>ООО УК "Согласие" </t>
  </si>
  <si>
    <t>ТСН "КИРОВА 30"</t>
  </si>
  <si>
    <t>ООО "Фортуна" </t>
  </si>
  <si>
    <t>ООО "РЕМСТРОЙ Южный" </t>
  </si>
  <si>
    <t>ООО «Фортуна»</t>
  </si>
  <si>
    <t>ООО "РЕМСТРОЙ ЮЖНЫЙ"</t>
  </si>
  <si>
    <t>ООО "ФОРТУНА</t>
  </si>
  <si>
    <t>ООО "ФОРТУНА"</t>
  </si>
  <si>
    <t>ТСЖ "СНОВИЦЫ"</t>
  </si>
  <si>
    <t>МУП "РСУ" г. Петушки</t>
  </si>
  <si>
    <t xml:space="preserve"> "Карла Маркса 2"</t>
  </si>
  <si>
    <t>ООО "УК ПОКРОВ"</t>
  </si>
  <si>
    <t>ООО "ЭКСПЕРТ"</t>
  </si>
  <si>
    <t>ООО "СМК-РЕКОНСТРУКЦИЯ"</t>
  </si>
  <si>
    <t>2016</t>
  </si>
  <si>
    <t>МКП Г. ВЛАДИМИРА "ЖКХ"</t>
  </si>
  <si>
    <t>ООО УК "СОГЛАСИЕ"</t>
  </si>
  <si>
    <t>округ Муром</t>
  </si>
  <si>
    <t>ЗАТО город Радужный</t>
  </si>
  <si>
    <t>Второвское</t>
  </si>
  <si>
    <t>Гусь-Хрустальный г, Ломоносова ул, 24а</t>
  </si>
  <si>
    <t>ООО "МКД-СЕРВИС"</t>
  </si>
  <si>
    <t>МУП города Владимира "ГУК" </t>
  </si>
  <si>
    <t>Владимир г, Семашко ул, 13</t>
  </si>
  <si>
    <t>ООО "УК"Парадигма"</t>
  </si>
  <si>
    <t>ООО "Наше ЖКО"</t>
  </si>
  <si>
    <t>Итого по Владимирской области по 2020 году:</t>
  </si>
  <si>
    <t>Ковров г, Федорова ул, 93</t>
  </si>
  <si>
    <t>Собинский р-н, Заречное с, Парковая ул, 4</t>
  </si>
  <si>
    <t>ООО "ЖРЭП № 8"</t>
  </si>
  <si>
    <t>Меленковский р-н, Денятино с, Механизаторов ул, 1</t>
  </si>
  <si>
    <t>Итого по Денятинское</t>
  </si>
  <si>
    <t>ТСЖ "Денятино"</t>
  </si>
  <si>
    <t>Денятинское</t>
  </si>
  <si>
    <t>Итого по Владимирской области в 2020 году:</t>
  </si>
  <si>
    <t>Владимир г, Стасова ул, 31</t>
  </si>
  <si>
    <t>Срок проведения капитального ремонта в МКД</t>
  </si>
  <si>
    <t>замена плоской кровли на              стропильную</t>
  </si>
  <si>
    <t>ремонт внутридомовых инженерных систем теплоснабжения с заменой отопительных приборов (радиаторов)           в местах общего пользования и отопительных приборов (радиаторов), расположенных в жилых помещениях, не имеющих отключающих        устройств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</si>
  <si>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         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</si>
  <si>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          внутридомовых инженерных систем теплоснабжения</t>
  </si>
  <si>
    <t>авторский надзор при выполнении работ по  МКД, имеющих статус объекта культурного наследия (памятника истории и культуры)          народов РФ</t>
  </si>
  <si>
    <t>Кольчугино г, Лермонтова ул, 5</t>
  </si>
  <si>
    <t>Владимир г, Тракторная ул, 4</t>
  </si>
  <si>
    <t>Владимир г, Балакирева ул, 27</t>
  </si>
  <si>
    <t>Владимир г, Безыменского ул, 11</t>
  </si>
  <si>
    <t>Владимир г, Белоконской ул, 15Б</t>
  </si>
  <si>
    <t>Владимир г, Благонравова ул, 5</t>
  </si>
  <si>
    <t>Владимир г, Большая Нижегородская ул, 27а</t>
  </si>
  <si>
    <t>Владимир г, Варваринский проезд, 3</t>
  </si>
  <si>
    <t>Владимир г, Верхняя Дуброва ул, 3</t>
  </si>
  <si>
    <t>Владимир г, Верхняя Дуброва ул, 26А</t>
  </si>
  <si>
    <t>Владимир г, Верхняя Дуброва ул, 26Г</t>
  </si>
  <si>
    <t>Владимир г, Горького ул, 125</t>
  </si>
  <si>
    <t>Владимир г, Горького ул, 129</t>
  </si>
  <si>
    <t>Владимир г, Красноармейская ул, 46</t>
  </si>
  <si>
    <t>Владимир г, Куйбышева ул, 66а</t>
  </si>
  <si>
    <t>Владимир г, Ленина пр-кт, 13Б</t>
  </si>
  <si>
    <t>Владимир г, Ленина пр-кт, 32</t>
  </si>
  <si>
    <t>Владимир г, Ленина пр-кт, 34</t>
  </si>
  <si>
    <t>Владимир г, Мира ул, 15</t>
  </si>
  <si>
    <t>Владимир г, Мира ул, 4Б</t>
  </si>
  <si>
    <t>Владимир г, Народная ул, 8</t>
  </si>
  <si>
    <t>Владимир г, Нижняя Дуброва ул, 21А</t>
  </si>
  <si>
    <t>Владимир г, Нижняя Дуброва ул, 34</t>
  </si>
  <si>
    <t>Владимир г, Нижняя Дуброва ул, 42</t>
  </si>
  <si>
    <t>Владимир г, Никитина ул, 4А</t>
  </si>
  <si>
    <t>Владимир г, Октябрьский пр-кт, 25</t>
  </si>
  <si>
    <t>Владимир г, Октябрьский пр-кт, 36</t>
  </si>
  <si>
    <t>Владимир г, Сакко и Ванцетти ул, 23Б</t>
  </si>
  <si>
    <t>Владимир г, Северная ул, 26</t>
  </si>
  <si>
    <t>Владимир г, Соколова-Соколенка ул, 16</t>
  </si>
  <si>
    <t>Владимир г, Соколова-Соколенка ул, 3Б</t>
  </si>
  <si>
    <t>Владимир г, Соколова-Соколенка ул, 29</t>
  </si>
  <si>
    <t>Владимир г, Соколова-Соколенка ул, 30</t>
  </si>
  <si>
    <t>Владимир г, Стрелецкая ул, 36А</t>
  </si>
  <si>
    <t>Владимир г, Суздальский пр-кт, 13А</t>
  </si>
  <si>
    <t>Владимир г, Тихонравова ул, 9</t>
  </si>
  <si>
    <t>Владимир г, Тихонравова ул, 11</t>
  </si>
  <si>
    <t>Владимир г, Юбилейная ул, 20</t>
  </si>
  <si>
    <t>Владимир г, Хирурга Орлова ул, 2б</t>
  </si>
  <si>
    <t>Владимир г, Чайковского ул, 25А</t>
  </si>
  <si>
    <t>Владимир г, Красноармейская ул, 43Г</t>
  </si>
  <si>
    <t>Владимир г, Безыменского ул, 4</t>
  </si>
  <si>
    <t>Владимир г, Верхняя Дуброва ул, 18Б</t>
  </si>
  <si>
    <t>Владимир г, Верхняя Дуброва ул, 38Б</t>
  </si>
  <si>
    <t>Владимир г, Диктора Левитана ул, 5</t>
  </si>
  <si>
    <t>Владимир г, Добросельская ул, 199а</t>
  </si>
  <si>
    <t>Владимир г, Добросельская ул, 207</t>
  </si>
  <si>
    <t>Владимир г, Комиссарова ул, 13</t>
  </si>
  <si>
    <t>Владимир г, Комиссарова ул, 23</t>
  </si>
  <si>
    <t>Владимир г, Лакина проезд, 8</t>
  </si>
  <si>
    <t>Владимир г, Лесной мкр, Лесная ул, 6</t>
  </si>
  <si>
    <t>Владимир г, Нижняя Дуброва ул, 32А</t>
  </si>
  <si>
    <t>Владимир г, Нижняя Дуброва ул, 46</t>
  </si>
  <si>
    <t>Владимир г, Нижняя Дуброва ул, 46Б</t>
  </si>
  <si>
    <t>Владимир г, Октябрьский пр-кт, 27</t>
  </si>
  <si>
    <t>Владимир г, Оргтруд мкр, Молодежная ул, 15</t>
  </si>
  <si>
    <t>Владимир г, Оргтруд мкр, Молодежная ул, 18</t>
  </si>
  <si>
    <t>Владимир г, Оргтруд мкр, Молодежная ул, 19</t>
  </si>
  <si>
    <t>Владимир г, Оргтруд мкр, Октябрьская ул, 27</t>
  </si>
  <si>
    <t>Владимир г, Оргтруд мкр, Строителей ул, 1</t>
  </si>
  <si>
    <t>Владимир г, Оргтруд мкр, Строителей ул, 4</t>
  </si>
  <si>
    <t>Владимир г, Полины Осипенко ул, 17</t>
  </si>
  <si>
    <t>Владимир г, Растопчина ул, 33а</t>
  </si>
  <si>
    <t>Владимир г, Растопчина ул, 55</t>
  </si>
  <si>
    <t>Владимир г, Соколова-Соколенка ул, 9</t>
  </si>
  <si>
    <t>Владимир г, Солнечная ул, 41А</t>
  </si>
  <si>
    <t>Владимир г, Суздальский пр-кт, 21</t>
  </si>
  <si>
    <t>Владимир г, Тихонравова ул, 4</t>
  </si>
  <si>
    <t>Владимир г, Тракторная ул, 5</t>
  </si>
  <si>
    <t>Владимир г, Энергетик мкр, Энергетиков ул, 6</t>
  </si>
  <si>
    <t>Владимир г, Энергетик мкр, Энергетиков ул, 9</t>
  </si>
  <si>
    <t>Владимир г, Юбилейная ул, 76А</t>
  </si>
  <si>
    <t>Владимир г, Юрьевец мкр, Михалькова ул, 2</t>
  </si>
  <si>
    <t>Владимир г, Юрьевец мкр, Михалькова ул, 5</t>
  </si>
  <si>
    <t>Александров г, Ленина ул, 2</t>
  </si>
  <si>
    <t>Гусь-Хрустальный г, 50 лет Советской Власти пр-кт, 35</t>
  </si>
  <si>
    <t>Гусь-Хрустальный г, Карла Либкнехта ул, 5а</t>
  </si>
  <si>
    <t>Гусь-Хрустальный г, Октябрьская ул, 68</t>
  </si>
  <si>
    <t>Гусь-Хрустальный г, Транспортная ул, 16а</t>
  </si>
  <si>
    <t>Ковров г, 5 Декабря ул, 22</t>
  </si>
  <si>
    <t>Ковров г, Грибоедова ул, 7</t>
  </si>
  <si>
    <t>Ковров г, Грибоедова ул, 9</t>
  </si>
  <si>
    <t>Ковров г, Зои Космодемьянской ул, 11</t>
  </si>
  <si>
    <t>Ковров г, Киркижа ул, 20</t>
  </si>
  <si>
    <t>Ковров г, Комсомольская ул, 24</t>
  </si>
  <si>
    <t>Ковров г, Куйбышева ул, 6</t>
  </si>
  <si>
    <t>Ковров г, Ленина пр-кт, 49/1</t>
  </si>
  <si>
    <t>Ковров г, Ленина пр-кт, 5</t>
  </si>
  <si>
    <t>Ковров г, Лесная ул, 4</t>
  </si>
  <si>
    <t>Ковров г, Малеева ул, 1/1</t>
  </si>
  <si>
    <t>Ковров г, Матвеева ул, 5</t>
  </si>
  <si>
    <t>Ковров г, Машиностроителей ул, 3</t>
  </si>
  <si>
    <t>Ковров г, Маяковского ул, 4</t>
  </si>
  <si>
    <t>Ковров г, Мира пр-кт, 6</t>
  </si>
  <si>
    <t>Ковров г, Партизанская ул, 1</t>
  </si>
  <si>
    <t>Ковров г, Садовая ул, 23</t>
  </si>
  <si>
    <t>Ковров г, Сергея Лазо ул, 4</t>
  </si>
  <si>
    <t>Ковров г, Строителей ул, 12/1</t>
  </si>
  <si>
    <t>Ковров г, Строителей ул, 33</t>
  </si>
  <si>
    <t>Ковров г, Тимофея Павловского ул, 10</t>
  </si>
  <si>
    <t>Ковров г, Волго-Донская ул, 11В</t>
  </si>
  <si>
    <t>Итого по Григорьевское</t>
  </si>
  <si>
    <t>Гусь-Хрустальный р-н, Вековка ст, 1</t>
  </si>
  <si>
    <t>Гусь-Хрустальный р-н, Вековка ст, 3</t>
  </si>
  <si>
    <t>Гусь-Хрустальный р-н, Вековка ст, 4</t>
  </si>
  <si>
    <t>Гусь-Хрустальный р-н, Вековка ст, 5</t>
  </si>
  <si>
    <t>Камешковский р-н, им Максима Горького п, Шоссейная ул, 6</t>
  </si>
  <si>
    <t>Кольчугино г, 3 Интернационала ул, 57</t>
  </si>
  <si>
    <t>Кольчугино г, 50 лет Октября ул, 26</t>
  </si>
  <si>
    <t>Кольчугино г, 50 лет Октября ул, 5А</t>
  </si>
  <si>
    <t>Кольчугино г, Белая Речка п, Новая ул, 5</t>
  </si>
  <si>
    <t>Кольчугино г, Дружбы ул, 20а</t>
  </si>
  <si>
    <t>Кольчугино г, Максимова ул, 21</t>
  </si>
  <si>
    <t>Кольчугино г, Мира ул, 3</t>
  </si>
  <si>
    <t>Кольчугино г, Веденеева ул, 12</t>
  </si>
  <si>
    <t>Кольчугино г, Добровольского ул, 15</t>
  </si>
  <si>
    <t>Кольчугино г, Добровольского ул, 17</t>
  </si>
  <si>
    <t>Кольчугино г, Добровольского ул, 19</t>
  </si>
  <si>
    <t>Кольчугино г, Добровольского ул, 27</t>
  </si>
  <si>
    <t>Кольчугино г, Коллективная ул, 41</t>
  </si>
  <si>
    <t>Кольчугино г, Московская ул, 62</t>
  </si>
  <si>
    <t>Муром г, 30 лет Победы ул, 8</t>
  </si>
  <si>
    <t>Муром г, 30 лет Победы ул, 9 корп 1</t>
  </si>
  <si>
    <t>Муром г, Автодора ул, 37</t>
  </si>
  <si>
    <t>Муром г, Воровского ул, 88</t>
  </si>
  <si>
    <t>Муром г, Ковровская ул, 12</t>
  </si>
  <si>
    <t>Муром г, Кооперативная ул, 6</t>
  </si>
  <si>
    <t>Муром г, Куйбышева ул, 36</t>
  </si>
  <si>
    <t>Муром г, Куйбышева ул, 38</t>
  </si>
  <si>
    <t>Муром г, Лаврентьева ул, 39</t>
  </si>
  <si>
    <t>Муром г, Ленинградская ул, 24</t>
  </si>
  <si>
    <t>Муром г, Муромская ул, 25</t>
  </si>
  <si>
    <t>Муром г, Нижегородская ул, 29</t>
  </si>
  <si>
    <t>Муром г, Свердлова ул, 33</t>
  </si>
  <si>
    <t>Муром г, Филатова ул, 5</t>
  </si>
  <si>
    <t>Муром г, Владимирская ул, 9</t>
  </si>
  <si>
    <t>Муром г, Комсомольская ул, 49</t>
  </si>
  <si>
    <t>Муром г, Красногвардейская ул, 40</t>
  </si>
  <si>
    <t>Муром г, Мечникова ул, 36</t>
  </si>
  <si>
    <t>Собинка г, Некрасова ул, 2А</t>
  </si>
  <si>
    <t>Собинка г, Некрасова ул, 2Б</t>
  </si>
  <si>
    <t>Собинка г, Некрасова ул, 2В</t>
  </si>
  <si>
    <t>Собинский р-н, Лакинск г, Мира ул, 89</t>
  </si>
  <si>
    <t>Суздальский р-н, Павловское с, Школьная ул, 19</t>
  </si>
  <si>
    <t>Суздальский р-н, Павловское с, Школьная ул, 20</t>
  </si>
  <si>
    <t>Информация о выполнении капитального ремонта общего имущества в многоквартирных домах со способом формирования фонда капитально ремонта - специальный счет на территории Владимирской области в период 2020-2022 годы в рамках реализации региональной программы капитального ремонта</t>
  </si>
  <si>
    <t>2014</t>
  </si>
  <si>
    <t>2015</t>
  </si>
  <si>
    <t>Вязниковский р-н, Никологоры п, 40 лет Октября ул, 2</t>
  </si>
  <si>
    <t>2017</t>
  </si>
  <si>
    <t>Владимир г, Лакина ул, 133</t>
  </si>
  <si>
    <t>Вязники г, Дечинский мкр, 16</t>
  </si>
  <si>
    <t>Ковров г, Лизы Чайкиной ул, 36</t>
  </si>
  <si>
    <t>Ковров г, Лопатина ул, 61</t>
  </si>
  <si>
    <t>Ковров г, Пугачева ул, 30</t>
  </si>
  <si>
    <t>Ковров г, Моховая ул, 3</t>
  </si>
  <si>
    <t>Муром г, Ленинградская ул, 34 корп. 5</t>
  </si>
  <si>
    <t>Муром г, Первомайская ул, 13</t>
  </si>
  <si>
    <t>Камешковский р-н, Мирный п, Центральная ул, 86</t>
  </si>
  <si>
    <t>Киржач г, Магистральная ул, 1</t>
  </si>
  <si>
    <t>Петушинский р-н, Пекша д, Октябрьская ул, 2</t>
  </si>
  <si>
    <t>Гороховецкий р-н, Фоминки с, Чекунова ул, 4</t>
  </si>
  <si>
    <t>Собинка г, Мира ул, 1А</t>
  </si>
  <si>
    <t>ТСЖ "ЗОА,16"</t>
  </si>
  <si>
    <t>ООО "ЖЭЦ-Управление"</t>
  </si>
  <si>
    <t>ООО "УМД Континент"</t>
  </si>
  <si>
    <t>ООО "ОДК"</t>
  </si>
  <si>
    <t>ООО"Управдом"</t>
  </si>
  <si>
    <t>ООО Киржачское ЖЭУ №1</t>
  </si>
  <si>
    <t>ООО "СМК-Реконструкция"</t>
  </si>
  <si>
    <t>ООО УК "Спецстройгарант-1"</t>
  </si>
  <si>
    <t>Александровский р-н, Балакирево пгт, 60 лет Октября ул, 10</t>
  </si>
  <si>
    <t>Ковров г, Генералова ул, 10</t>
  </si>
  <si>
    <t>Итого по Владимирской области по 2021 году:</t>
  </si>
  <si>
    <t>Гусь-Хрустальный г, Курловская ул, 25</t>
  </si>
  <si>
    <t>Всего по субъекту:</t>
  </si>
  <si>
    <t xml:space="preserve"> реализации региональной программы капитального ремонта общего имущества в многоквартирных домах на территории Владимирской области на 2020-2021 годы
за счет средств регионального оператора * **</t>
  </si>
  <si>
    <t>Владимир г, Безыменского ул, 17а</t>
  </si>
  <si>
    <t>Владимир г, Безыменского ул, 1а</t>
  </si>
  <si>
    <t>Владимир г, Диктора Левитана ул, 42</t>
  </si>
  <si>
    <t>Владимир г, Добросельская ул, 209</t>
  </si>
  <si>
    <t>Владимир г, Егорова ул, 16а</t>
  </si>
  <si>
    <t>Владимир г, Жуковского ул, 20а</t>
  </si>
  <si>
    <t>Владимир г, Казарменная ул, 5А</t>
  </si>
  <si>
    <t>Владимир г, Комиссарова ул, 21</t>
  </si>
  <si>
    <t>Владимир г, Комиссарова ул, 22</t>
  </si>
  <si>
    <t>Владимир г, Красноармейская ул, 45</t>
  </si>
  <si>
    <t>Владимир г, Лакина ул, 141В</t>
  </si>
  <si>
    <t>Владимир г, Лакина ул, 3</t>
  </si>
  <si>
    <t>Владимир г, Ленина пр-кт, 71а</t>
  </si>
  <si>
    <t>Владимир г, Лесной мкр, Лесная ул, 10</t>
  </si>
  <si>
    <t>Владимир г, Лесной мкр, Лесная ул, 12</t>
  </si>
  <si>
    <t>Владимир г, Лесной мкр, Лесная ул, 13</t>
  </si>
  <si>
    <t>Владимир г, Ново-Ямская ул, 29А</t>
  </si>
  <si>
    <t>Владимир г, Оргтруд мкр, Октябрьская ул, 18</t>
  </si>
  <si>
    <t>Владимир г, Оргтруд мкр, Строителей ул, 3</t>
  </si>
  <si>
    <t>Владимир г, Северная ул, 28</t>
  </si>
  <si>
    <t>Владимир г, Соколова-Соколенка ул, 23</t>
  </si>
  <si>
    <t>Владимир г, Строителей пр-кт, 15Б</t>
  </si>
  <si>
    <t>Владимир г, Строителей пр-кт, 34А</t>
  </si>
  <si>
    <t>Владимир г, Строителей пр-кт, 4</t>
  </si>
  <si>
    <t>Владимир г, Суздальский пр-кт, 16</t>
  </si>
  <si>
    <t>Владимир г, Суздальский пр-кт, 26</t>
  </si>
  <si>
    <t>Владимир г, Тракторная ул, 7А</t>
  </si>
  <si>
    <t>Владимир г, Чайковского ул, 48</t>
  </si>
  <si>
    <t>Владимир г, Энергетик мкр, Садовая ул, 13</t>
  </si>
  <si>
    <t>Владимир г, Энергетик мкр, Энергетиков ул, 3</t>
  </si>
  <si>
    <t>Владимир г, 2-я Кольцевая ул, 26а</t>
  </si>
  <si>
    <t>Владимир г, 3-я Кольцевая ул, 25а</t>
  </si>
  <si>
    <t>Владимир г, Безыменского ул, 9в</t>
  </si>
  <si>
    <t>Владимир г, Безыменского ул, 9д</t>
  </si>
  <si>
    <t>Владимир г, Безыменского ул, 13б</t>
  </si>
  <si>
    <t>Владимир г, Белоконской ул, 15</t>
  </si>
  <si>
    <t>Владимир г, Большой проезд, 15а</t>
  </si>
  <si>
    <t>Владимир г, Василисина ул, 8б</t>
  </si>
  <si>
    <t>Владимир г, Василисина ул, 22а</t>
  </si>
  <si>
    <t>Владимир г, Верхняя Дуброва ул, 18</t>
  </si>
  <si>
    <t>Владимир г, Горького ул, 85А</t>
  </si>
  <si>
    <t>Владимир г, Диктора Левитана ул, 5А</t>
  </si>
  <si>
    <t>Владимир г, Егорова ул, 1</t>
  </si>
  <si>
    <t>Владимир г, Егорова ул, 10б</t>
  </si>
  <si>
    <t>Владимир г, Западная ул, 59</t>
  </si>
  <si>
    <t>Владимир г, Кирова ул, 3А</t>
  </si>
  <si>
    <t>Владимир г, Кирова ул, 6</t>
  </si>
  <si>
    <t>Владимир г, Кирова ул, 7</t>
  </si>
  <si>
    <t>Владимир г, Комиссарова ул, 4</t>
  </si>
  <si>
    <t>Владимир г, Коммунар мкр, Зеленая ул, 62</t>
  </si>
  <si>
    <t>Владимир г, Коммунар мкр, Зеленая ул, 64</t>
  </si>
  <si>
    <t>Владимир г, Коммунар мкр, Зеленая ул, 68</t>
  </si>
  <si>
    <t>Владимир г, Костерин пер, 10</t>
  </si>
  <si>
    <t>Владимир г, Куйбышева ул, 66</t>
  </si>
  <si>
    <t>Владимир г, Лакина ул, 155А</t>
  </si>
  <si>
    <t>Владимир г, Ленина пр-кт, 49</t>
  </si>
  <si>
    <t>Владимир г, Ленина пр-кт, 60</t>
  </si>
  <si>
    <t>Владимир г, Лермонтова ул, 45</t>
  </si>
  <si>
    <t>Владимир г, Мира ул, 6</t>
  </si>
  <si>
    <t>Владимир г, Мира ул, 6Б</t>
  </si>
  <si>
    <t>Владимир г, Мира ул, 22</t>
  </si>
  <si>
    <t>Владимир г, Михайловская ул, 6</t>
  </si>
  <si>
    <t>Владимир г, Михайловская ул, 12</t>
  </si>
  <si>
    <t>Владимир г, Михайловская ул, 55</t>
  </si>
  <si>
    <t>Владимир г, Нижняя Дуброва ул, 26</t>
  </si>
  <si>
    <t>Владимир г, Нижняя Дуброва ул, 33</t>
  </si>
  <si>
    <t>Владимир г, Ново-Ямская ул, 70</t>
  </si>
  <si>
    <t>Владимир г, Офицерская ул, 9А</t>
  </si>
  <si>
    <t>Владимир г, Офицерская ул, 16</t>
  </si>
  <si>
    <t>Владимир г, Пичугина ул, 5</t>
  </si>
  <si>
    <t>Владимир г, Пичугина ул, 14</t>
  </si>
  <si>
    <t>Владимир г, Полины Осипенко ул, 11</t>
  </si>
  <si>
    <t>Владимир г, Растопчина ул, 33в</t>
  </si>
  <si>
    <t>Владимир г, Растопчина ул, 39в</t>
  </si>
  <si>
    <t>Владимир г, Растопчина ул, 61</t>
  </si>
  <si>
    <t>Владимир г, Растопчина ул, 61а</t>
  </si>
  <si>
    <t>Владимир г, Северная ул, 22</t>
  </si>
  <si>
    <t>Владимир г, Семашко ул, 8</t>
  </si>
  <si>
    <t>Владимир г, Соколова-Соколенка ул, 20</t>
  </si>
  <si>
    <t>Владимир г, Столетовых ул, 5</t>
  </si>
  <si>
    <t>Владимир г, Строителей пр-кт, 34В</t>
  </si>
  <si>
    <t>Владимир г, Студенческая ул, 6Д</t>
  </si>
  <si>
    <t>Владимир г, Суворова ул, 11</t>
  </si>
  <si>
    <t>Владимир г, Судогодское ш, 17а</t>
  </si>
  <si>
    <t>Владимир г, Судогодское ш, 27а</t>
  </si>
  <si>
    <t>Владимир г, Сурикова ул, 14</t>
  </si>
  <si>
    <t>Владимир г, Сущевская ул, 3</t>
  </si>
  <si>
    <t>Владимир г, Сущевская ул, 7</t>
  </si>
  <si>
    <t>Владимир г, Тракторная ул, 13</t>
  </si>
  <si>
    <t>Владимир г, Университетская ул, 7</t>
  </si>
  <si>
    <t>Владимир г, Усти-на-Лабе ул, 16</t>
  </si>
  <si>
    <t>Владимир г, Усти-на-Лабе ул, 23</t>
  </si>
  <si>
    <t>Владимир г, Юбилейная ул, 12</t>
  </si>
  <si>
    <t>Владимир г, Юбилейная ул, 50</t>
  </si>
  <si>
    <t>Владимир г, Юбилейная ул, 52</t>
  </si>
  <si>
    <t>Владимир г, Юбилейная ул, 58</t>
  </si>
  <si>
    <t>Владимир г, Юбилейная ул, 68</t>
  </si>
  <si>
    <t>Владимир г, Юрьевец мкр, Школьный проезд, 4</t>
  </si>
  <si>
    <t>Александров г, Институтская ул, 8</t>
  </si>
  <si>
    <t>Александров г, Королева ул, 1</t>
  </si>
  <si>
    <t>Александров г, Королева ул, 12</t>
  </si>
  <si>
    <t>Александров г, Коссович ул, 6</t>
  </si>
  <si>
    <t>Александров г, Коссович ул, 7</t>
  </si>
  <si>
    <t>Александров г, Ленина ул, 14</t>
  </si>
  <si>
    <t>Александров г, Маяковского ул, 13</t>
  </si>
  <si>
    <t>Александров г, Октябрьская ул, 6 корп. 2</t>
  </si>
  <si>
    <t>Александров г, П.Топоркова ул, 2</t>
  </si>
  <si>
    <t>Александров г, Первомайская ул, 50</t>
  </si>
  <si>
    <t>Александров г, Революции ул, 24</t>
  </si>
  <si>
    <t>Александров г, Революции ул, 36</t>
  </si>
  <si>
    <t>Александров г, Терешковой ул, 10 корп. 2</t>
  </si>
  <si>
    <t>Александров г, Энтузиастов ул, 11</t>
  </si>
  <si>
    <t>Гусь-Хрустальный г, 50 лет Советской Власти пр-кт, 29</t>
  </si>
  <si>
    <t>Гусь-Хрустальный г, Интернациональная ул, 40б</t>
  </si>
  <si>
    <t>Гусь-Хрустальный г, Калинина ул, 41</t>
  </si>
  <si>
    <t>Гусь-Хрустальный г, Каховского ул, 10</t>
  </si>
  <si>
    <t>Гусь-Хрустальный г, Красноармейская ул, 19</t>
  </si>
  <si>
    <t>Гусь-Хрустальный г, Курловская ул, 18</t>
  </si>
  <si>
    <t>Гусь-Хрустальный г, Маяковского ул, 1а</t>
  </si>
  <si>
    <t>Гусь-Хрустальный г, Менделеева ул, 15а</t>
  </si>
  <si>
    <t>Гусь-Хрустальный г, Муравьева-Апостола ул, 11</t>
  </si>
  <si>
    <t>Гусь-Хрустальный г, Октябрьская ул, 76</t>
  </si>
  <si>
    <t>Гусь-Хрустальный г, Полевая ул, 3</t>
  </si>
  <si>
    <t>Гусь-Хрустальный г, Полярная ул, 9</t>
  </si>
  <si>
    <t>Гусь-Хрустальный г, Торфяная ул, 7</t>
  </si>
  <si>
    <t>Гусь-Хрустальный г, Торфяная ул, 15</t>
  </si>
  <si>
    <t>Гусь-Хрустальный г, Транспортная ул, 19</t>
  </si>
  <si>
    <t>Ковров г, Абельмана ул, 130</t>
  </si>
  <si>
    <t>Ковров г, Белинского ул, 1/1</t>
  </si>
  <si>
    <t>Ковров г, Ватутина ул, 49</t>
  </si>
  <si>
    <t>Ковров г, Ватутина ул, 53</t>
  </si>
  <si>
    <t>Ковров г, Ватутина ул, 55</t>
  </si>
  <si>
    <t>Ковров г, Грибоедова ул, 11</t>
  </si>
  <si>
    <t>Ковров г, Грибоедова ул, 13</t>
  </si>
  <si>
    <t>Ковров г, Еловая ул, 86/2</t>
  </si>
  <si>
    <t>Ковров г, Еловая ул, 86/9</t>
  </si>
  <si>
    <t>Ковров г, Молодогвардейская ул, 3</t>
  </si>
  <si>
    <t>Ковров г, Моховая ул, 1/3</t>
  </si>
  <si>
    <t>Ковров г, Муромская ул, 23/2</t>
  </si>
  <si>
    <t>Ковров г, Абельмана ул, 27</t>
  </si>
  <si>
    <t>Ковров г, Ватутина ул, 86</t>
  </si>
  <si>
    <t>Ковров г, Волго-Донская ул, 7а</t>
  </si>
  <si>
    <t>Ковров г, Восточная ул, 52 корп. 4</t>
  </si>
  <si>
    <t>Ковров г, Восточный проезд, 14/2</t>
  </si>
  <si>
    <t>Ковров г, Восточный проезд, 16/1</t>
  </si>
  <si>
    <t>Ковров г, Гастелло ул, 9</t>
  </si>
  <si>
    <t>Ковров г, Дегтярева ул, 19</t>
  </si>
  <si>
    <t>Ковров г, Димитрова ул, 8</t>
  </si>
  <si>
    <t>Ковров г, Димитрова ул, 16</t>
  </si>
  <si>
    <t>Ковров г, Димитрова ул, 18</t>
  </si>
  <si>
    <t>Ковров г, Еловая ул, 88</t>
  </si>
  <si>
    <t>Ковров г, Зои Космодемьянской ул, 3 корп. 1</t>
  </si>
  <si>
    <t>Ковров г, Зои Космодемьянской ул, 23</t>
  </si>
  <si>
    <t>Ковров г, Калинина ул, 9</t>
  </si>
  <si>
    <t>Ковров г, Калинина ул, 20</t>
  </si>
  <si>
    <t>Ковров г, Калинина ул, 21</t>
  </si>
  <si>
    <t>Ковров г, Киркижа ул, 16</t>
  </si>
  <si>
    <t>Ковров г, Комсомольская ул, 28</t>
  </si>
  <si>
    <t>Ковров г, Комсомольская ул, 30</t>
  </si>
  <si>
    <t>Ковров г, Комсомольская ул, 34 корп. 2</t>
  </si>
  <si>
    <t>Ковров г, Комсомольская ул, 36/4</t>
  </si>
  <si>
    <t>Ковров г, Космонавтов ул, 4/3</t>
  </si>
  <si>
    <t>Ковров г, Куйбышева ул, 4</t>
  </si>
  <si>
    <t>Ковров г, Куйбышева ул, 14</t>
  </si>
  <si>
    <t>Ковров г, Куйбышева ул, 15</t>
  </si>
  <si>
    <t>Ковров г, Куйбышева ул, 18</t>
  </si>
  <si>
    <t>Ковров г, Ленина пр-кт, 46</t>
  </si>
  <si>
    <t>Ковров г, Ленина пр-кт, 49</t>
  </si>
  <si>
    <t>Ковров г, Летняя ул, 29</t>
  </si>
  <si>
    <t>Ковров г, Лопатина ул, 19</t>
  </si>
  <si>
    <t>Ковров г, Машиностроителей ул, 5</t>
  </si>
  <si>
    <t>Ковров г, Машиностроителей ул, 13</t>
  </si>
  <si>
    <t>Ковров г, Машиностроителей ул, 15</t>
  </si>
  <si>
    <t>Ковров г, Маяковского ул, 24</t>
  </si>
  <si>
    <t>Ковров г, Маяковского ул, 28</t>
  </si>
  <si>
    <t>Ковров г, Маяковского ул, 30</t>
  </si>
  <si>
    <t>Ковров г, Московская ул, 3</t>
  </si>
  <si>
    <t>Ковров г, Московская ул, 4</t>
  </si>
  <si>
    <t>Ковров г, Московская ул, 6</t>
  </si>
  <si>
    <t>Ковров г, Московская ул, 7</t>
  </si>
  <si>
    <t>Ковров г, Московская ул, 9</t>
  </si>
  <si>
    <t>Ковров г, Моховая ул, 2/9</t>
  </si>
  <si>
    <t>Ковров г, Муромская ул, 23 корп. 3</t>
  </si>
  <si>
    <t>Ковров г, Муромская ул, 31</t>
  </si>
  <si>
    <t>Ковров г, Муромская ул, 33</t>
  </si>
  <si>
    <t>Ковров г, Ногина пер, 3</t>
  </si>
  <si>
    <t>Ковров г, Ногина пер, 5</t>
  </si>
  <si>
    <t>Ковров г, Островского ул, 73</t>
  </si>
  <si>
    <t>Ковров г, Островского ул, 79</t>
  </si>
  <si>
    <t>Ковров г, Островского ул, 81</t>
  </si>
  <si>
    <t>Ковров г, Пионерская ул, 6</t>
  </si>
  <si>
    <t>Ковров г, Подлесная ул, 21</t>
  </si>
  <si>
    <t>Ковров г, Подлесная ул, 22</t>
  </si>
  <si>
    <t>Ковров г, Подлесная ул, 24</t>
  </si>
  <si>
    <t>Ковров г, Сосновая ул, 15 корп. 1</t>
  </si>
  <si>
    <t>Ковров г, Сосновая ул, 35</t>
  </si>
  <si>
    <t>Ковров г, Сосновая ул, 37</t>
  </si>
  <si>
    <t>Ковров г, Социалистическая ул, 15</t>
  </si>
  <si>
    <t>Ковров г, Строителей ул, 8</t>
  </si>
  <si>
    <t>Ковров г, Строителей ул, 9</t>
  </si>
  <si>
    <t>Ковров г, Строителей ул, 10</t>
  </si>
  <si>
    <t>Ковров г, Строителей ул, 14</t>
  </si>
  <si>
    <t>Ковров г, Строителей ул, 15/2</t>
  </si>
  <si>
    <t>Ковров г, Транспортная ул, 81</t>
  </si>
  <si>
    <t>Ковров г, Фурманова ул, 27</t>
  </si>
  <si>
    <t>Ковров г, Циолковского ул, 19</t>
  </si>
  <si>
    <t>Ковров г, Циолковского ул, 40</t>
  </si>
  <si>
    <t>Ковров г, Ленина пр-кт, 21</t>
  </si>
  <si>
    <t>Ковров г, Никитина ул, 34</t>
  </si>
  <si>
    <t>Гусь-Хрустальный р-н, Курлово г, Володарского ул, 1</t>
  </si>
  <si>
    <t>Кольчугино г, 3 Интернационала ул, 60</t>
  </si>
  <si>
    <t>Кольчугино г, Добровольского ул, 3</t>
  </si>
  <si>
    <t>Кольчугино г, Добровольского ул, 21</t>
  </si>
  <si>
    <t>Кольчугино г, Дружбы ул, 6а</t>
  </si>
  <si>
    <t>Кольчугино г, Дружбы ул, 8</t>
  </si>
  <si>
    <t>Кольчугино г, Дружбы ул, 12</t>
  </si>
  <si>
    <t>Кольчугино г, Дружбы ул, 23</t>
  </si>
  <si>
    <t>Кольчугино г, Дружбы ул, 32</t>
  </si>
  <si>
    <t>Кольчугино г, Ломако ул, 26</t>
  </si>
  <si>
    <t>Кольчугино г, Мира ул, 1</t>
  </si>
  <si>
    <t>Кольчугино г, Мира ул, 2</t>
  </si>
  <si>
    <t>Кольчугино г, Московская ул, 60</t>
  </si>
  <si>
    <t>Кольчугино г, Октябрьская ул, 36</t>
  </si>
  <si>
    <t>Кольчугино г, Победы ул, 9</t>
  </si>
  <si>
    <t>Кольчугино г, Победы ул, 11</t>
  </si>
  <si>
    <t>Кольчугино г, Ульяновская ул, 37</t>
  </si>
  <si>
    <t>Кольчугино г, Алексеева ул, 3б</t>
  </si>
  <si>
    <t>Муром г, Ленинградская ул, 26/6</t>
  </si>
  <si>
    <t>Муром г, Пролетарская ул, 50</t>
  </si>
  <si>
    <t>Муром г, Щербакова ул, 10</t>
  </si>
  <si>
    <t>Муром г, 30 лет Победы ул, 9 корп. 2</t>
  </si>
  <si>
    <t>Муром г, Артема ул, 20</t>
  </si>
  <si>
    <t>Муром г, Вокзальная ул, 16</t>
  </si>
  <si>
    <t>Муром г, Карла Маркса ул, 50</t>
  </si>
  <si>
    <t>Муром г, Кленовая ул, 30</t>
  </si>
  <si>
    <t>Муром г, Кленовая ул, 36</t>
  </si>
  <si>
    <t>Муром г, Кооперативная ул, 8</t>
  </si>
  <si>
    <t>Муром г, Кооперативная ул, 11</t>
  </si>
  <si>
    <t>Муром г, Кооперативная ул, 13</t>
  </si>
  <si>
    <t>Муром г, Кооперативный проезд, 8</t>
  </si>
  <si>
    <t>Муром г, Куйбышева ул, 32</t>
  </si>
  <si>
    <t>Муром г, Ленина ул, 55</t>
  </si>
  <si>
    <t>Муром г, Ленина ул, 85</t>
  </si>
  <si>
    <t>Муром г, Ленинградская ул, 20</t>
  </si>
  <si>
    <t>Муром г, Меленковская ул, 7</t>
  </si>
  <si>
    <t>Муром г, Меленковская ул, 11</t>
  </si>
  <si>
    <t>Муром г, Московская ул, 47</t>
  </si>
  <si>
    <t>Муром г, Муромская ул, 23</t>
  </si>
  <si>
    <t>Муром г, Совхозная ул, 15А</t>
  </si>
  <si>
    <t>Муром г, Филатова ул, 7</t>
  </si>
  <si>
    <t>Муром г, Чкалова ул, 6Б</t>
  </si>
  <si>
    <t>Муром г, Школьная ул, 1А</t>
  </si>
  <si>
    <t>Муром г, Энгельса ул, 7</t>
  </si>
  <si>
    <t>Камешково г, Свердлова ул, 9</t>
  </si>
  <si>
    <t>Камешково г, Молодежная ул, 2</t>
  </si>
  <si>
    <t>Камешково г, Ногина ул, 5</t>
  </si>
  <si>
    <t>Камешково г, Смурова ул, 10</t>
  </si>
  <si>
    <t>Камешково г, Совхозная ул, 21</t>
  </si>
  <si>
    <t>Камешково г, Школьная ул, 7</t>
  </si>
  <si>
    <t>Камешково г, Ленина ул, 6</t>
  </si>
  <si>
    <t>Юрьев-Польский г, Авангардский пер, 9</t>
  </si>
  <si>
    <t>Юрьев-Польский г, Авангардский пер, 5А</t>
  </si>
  <si>
    <t>Юрьев-Польский г, Революции ул, 9</t>
  </si>
  <si>
    <t>Юрьев-Польский г, Свободы ул, 129</t>
  </si>
  <si>
    <t>Юрьев-Польский г, Свободы ул, 133</t>
  </si>
  <si>
    <t>Юрьев-Польский г, Шибанкова ул, 116</t>
  </si>
  <si>
    <t>Вязники г, Дечинский мкр, 12а</t>
  </si>
  <si>
    <t>Вязники г, Ефимьево ул, 4</t>
  </si>
  <si>
    <t>Вязники г, Ленина ул, 19</t>
  </si>
  <si>
    <t>Вязники г, Металлистов ул, 10</t>
  </si>
  <si>
    <t>Вязники г, Спортивная ул, 8</t>
  </si>
  <si>
    <t>Вязники г, Стахановская ул, 16</t>
  </si>
  <si>
    <t>Радужный г, 1-й кв-л, 15</t>
  </si>
  <si>
    <t>Радужный г, 3-й кв-л, 26</t>
  </si>
  <si>
    <t>Радужный г, 3-й кв-л, 5</t>
  </si>
  <si>
    <t>Киржач г, Красный Октябрь мкр, Солнечный кв-л, 4</t>
  </si>
  <si>
    <t>Киржач г, Пугачева ул, 6</t>
  </si>
  <si>
    <t>Меленки г, Академика Королева ул, 25</t>
  </si>
  <si>
    <t>Итого по Ковардитское</t>
  </si>
  <si>
    <t>Муромский р-н, Ковардицы с, Молодежная ул, 11</t>
  </si>
  <si>
    <t>Петушинский р-н, Покров г, Больничный проезд, 4 корп. 2</t>
  </si>
  <si>
    <t>Петушки г, Московская ул, 5</t>
  </si>
  <si>
    <t>Петушки г, Строителей ул, 22</t>
  </si>
  <si>
    <t>Собинка г, Гагарина ул, 7</t>
  </si>
  <si>
    <t>Собинка г, Калинина ул, 2А</t>
  </si>
  <si>
    <t>Собинка г, Мира ул, 2</t>
  </si>
  <si>
    <t>Собинка г, Мира ул, 10</t>
  </si>
  <si>
    <t>Собинка г, Центральная ул, 26</t>
  </si>
  <si>
    <t>Собинский р-н, Лакинск г, 17 Партсъезда ул, 5</t>
  </si>
  <si>
    <t>Собинский р-н, Лакинск г, Парижской Коммуны ул, 31</t>
  </si>
  <si>
    <t>Собинский р-н, Лакинск г, Парковый проезд, 4</t>
  </si>
  <si>
    <t>Собинский р-н, Ставрово п, Комсомольская ул, 5</t>
  </si>
  <si>
    <t>Собинский р-н, Ставрово п, Комсомольская ул, 10</t>
  </si>
  <si>
    <t>Собинский р-н, Ставрово п, Школьная ул, 3</t>
  </si>
  <si>
    <t>Собинский р-н, Ставрово п, Школьная ул, 4</t>
  </si>
  <si>
    <t>Суздальский р-н, Боголюбово п, Западная ул, 13</t>
  </si>
  <si>
    <t>Суздальский р-н, Боголюбово п, Западная ул, 25а</t>
  </si>
  <si>
    <t>Суздальский р-н, Боголюбово п, Западная ул, 27а</t>
  </si>
  <si>
    <t>Суздальский р-н, Сокол п, 7</t>
  </si>
  <si>
    <t>Суздальский р-н, Сокол п, 14</t>
  </si>
  <si>
    <t>Суздальский р-н, Боголюбово п, Новая ул, 26</t>
  </si>
  <si>
    <t xml:space="preserve">Итого по Новоалександровское </t>
  </si>
  <si>
    <t>Суздальский р-н, Новоалександрово с, Студенческая ул, 2</t>
  </si>
  <si>
    <t>Суздальский р-н, Новоалександрово с, Студенческая ул, 3</t>
  </si>
  <si>
    <t>Суздальский р-н, Садовый п, Садовая ул, 3</t>
  </si>
  <si>
    <t>Суздальский р-н, Спасское-Городище с, Центральная ул, 12</t>
  </si>
  <si>
    <t xml:space="preserve">к постановлению Департамента жилищно-коммунального хозяйства Владимирской области </t>
  </si>
  <si>
    <t>Собинский р-н, Ставрово п, Юбилейная ул, 7</t>
  </si>
  <si>
    <t>Ковровский р-н, Мелехово пгт, Пионерская ул, 5</t>
  </si>
  <si>
    <t>Петушки г, Московская ул, 18</t>
  </si>
  <si>
    <t>Собинский р-н, Лакинск г, Мира ул, 49б</t>
  </si>
  <si>
    <t>источники финансирования сводного краткосрочного плана реализации региональной программы капитального ремонта общего имущества в многоквартирных домах за счет средств регионального оператора определены таблицей №1</t>
  </si>
  <si>
    <t>Радужный г, 1-й кв-л, 28</t>
  </si>
  <si>
    <t>Приложение № 4</t>
  </si>
  <si>
    <t>Приложение № 1</t>
  </si>
  <si>
    <t>Приложение № 2</t>
  </si>
  <si>
    <t>Приложение № 3</t>
  </si>
  <si>
    <t>Таблица № 1</t>
  </si>
  <si>
    <t xml:space="preserve">Сведения о многоквартирных домах, включенных в краткосрочный план реализации региональной программы капитального ремонта общего имущества в многоквартирных домах на территории Владимирской области на 2020-2021 годы за счет средств регионального оператора
</t>
  </si>
  <si>
    <t>к сводному краткосрочному плану реализации за счет средств регионального оператора</t>
  </si>
  <si>
    <t>Таблица № 2</t>
  </si>
  <si>
    <t xml:space="preserve">к сводному краткосрочному плану реализации   </t>
  </si>
  <si>
    <t>за счет средств регионального оператора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</si>
</sst>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[$-419]General"/>
    <numFmt numFmtId="165" formatCode="###\ ###\ ###\ ##0.00"/>
    <numFmt numFmtId="166" formatCode="###\ ###\ ###\ ##0"/>
  </numFmts>
  <fonts count="3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60"/>
      <color theme="1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48"/>
      <color rgb="FF00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sz val="48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36"/>
      <color indexed="81"/>
      <name val="Tahoma"/>
      <family val="2"/>
      <charset val="204"/>
    </font>
    <font>
      <b/>
      <sz val="48"/>
      <name val="Times New Roman"/>
      <family val="1"/>
      <charset val="204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0"/>
      <color theme="1"/>
      <name val="Calibri"/>
      <family val="2"/>
      <scheme val="minor"/>
    </font>
    <font>
      <sz val="4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164" fontId="5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6">
    <xf numFmtId="0" fontId="0" fillId="0" borderId="0" xfId="0"/>
    <xf numFmtId="0" fontId="0" fillId="0" borderId="0" xfId="0" applyFill="1"/>
    <xf numFmtId="0" fontId="1" fillId="0" borderId="0" xfId="0" applyFont="1" applyFill="1"/>
    <xf numFmtId="0" fontId="13" fillId="0" borderId="1" xfId="0" applyFont="1" applyFill="1" applyBorder="1" applyAlignment="1">
      <alignment horizontal="left"/>
    </xf>
    <xf numFmtId="0" fontId="16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right"/>
    </xf>
    <xf numFmtId="1" fontId="13" fillId="0" borderId="5" xfId="0" applyNumberFormat="1" applyFont="1" applyFill="1" applyBorder="1" applyAlignment="1">
      <alignment horizontal="center"/>
    </xf>
    <xf numFmtId="4" fontId="15" fillId="0" borderId="1" xfId="0" applyNumberFormat="1" applyFont="1" applyFill="1" applyBorder="1" applyAlignment="1">
      <alignment horizontal="right"/>
    </xf>
    <xf numFmtId="0" fontId="19" fillId="0" borderId="0" xfId="19" applyFont="1" applyFill="1" applyAlignment="1">
      <alignment wrapText="1"/>
    </xf>
    <xf numFmtId="0" fontId="19" fillId="0" borderId="0" xfId="19" applyFont="1" applyFill="1" applyAlignment="1">
      <alignment horizontal="center" wrapText="1"/>
    </xf>
    <xf numFmtId="0" fontId="19" fillId="0" borderId="1" xfId="29" applyFont="1" applyFill="1" applyBorder="1" applyAlignment="1">
      <alignment horizontal="center" vertical="center"/>
    </xf>
    <xf numFmtId="1" fontId="19" fillId="0" borderId="1" xfId="29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6" fillId="0" borderId="11" xfId="0" applyFont="1" applyFill="1" applyBorder="1" applyAlignment="1">
      <alignment horizontal="center" vertical="center" textRotation="90" wrapText="1"/>
    </xf>
    <xf numFmtId="0" fontId="16" fillId="0" borderId="1" xfId="0" applyNumberFormat="1" applyFont="1" applyFill="1" applyBorder="1" applyAlignment="1">
      <alignment horizontal="center" wrapText="1"/>
    </xf>
    <xf numFmtId="0" fontId="20" fillId="0" borderId="0" xfId="0" applyFont="1" applyFill="1"/>
    <xf numFmtId="0" fontId="0" fillId="0" borderId="0" xfId="0" applyNumberFormat="1" applyFill="1"/>
    <xf numFmtId="0" fontId="18" fillId="0" borderId="1" xfId="28" applyFont="1" applyFill="1" applyBorder="1" applyAlignment="1">
      <alignment horizontal="center"/>
    </xf>
    <xf numFmtId="4" fontId="13" fillId="0" borderId="1" xfId="0" applyNumberFormat="1" applyFont="1" applyFill="1" applyBorder="1" applyAlignment="1"/>
    <xf numFmtId="4" fontId="13" fillId="0" borderId="1" xfId="0" applyNumberFormat="1" applyFont="1" applyFill="1" applyBorder="1" applyAlignment="1">
      <alignment horizontal="center"/>
    </xf>
    <xf numFmtId="10" fontId="13" fillId="0" borderId="1" xfId="0" applyNumberFormat="1" applyFont="1" applyFill="1" applyBorder="1" applyAlignment="1">
      <alignment horizontal="center"/>
    </xf>
    <xf numFmtId="0" fontId="18" fillId="0" borderId="1" xfId="28" applyFont="1" applyFill="1" applyBorder="1" applyAlignment="1">
      <alignment horizontal="left"/>
    </xf>
    <xf numFmtId="0" fontId="13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right"/>
    </xf>
    <xf numFmtId="0" fontId="13" fillId="0" borderId="1" xfId="0" applyFont="1" applyFill="1" applyBorder="1" applyAlignment="1">
      <alignment horizontal="right"/>
    </xf>
    <xf numFmtId="3" fontId="13" fillId="0" borderId="1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left"/>
    </xf>
    <xf numFmtId="0" fontId="23" fillId="0" borderId="1" xfId="28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4" fontId="24" fillId="0" borderId="1" xfId="0" applyNumberFormat="1" applyFont="1" applyFill="1" applyBorder="1" applyAlignment="1">
      <alignment horizontal="right"/>
    </xf>
    <xf numFmtId="4" fontId="24" fillId="0" borderId="1" xfId="0" applyNumberFormat="1" applyFont="1" applyFill="1" applyBorder="1"/>
    <xf numFmtId="0" fontId="19" fillId="0" borderId="1" xfId="0" applyFont="1" applyFill="1" applyBorder="1" applyAlignment="1">
      <alignment horizontal="left" vertical="center"/>
    </xf>
    <xf numFmtId="0" fontId="23" fillId="0" borderId="1" xfId="28" applyFont="1" applyFill="1" applyBorder="1" applyAlignment="1">
      <alignment horizontal="left" vertical="center"/>
    </xf>
    <xf numFmtId="3" fontId="24" fillId="0" borderId="1" xfId="0" applyNumberFormat="1" applyFont="1" applyFill="1" applyBorder="1"/>
    <xf numFmtId="4" fontId="18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/>
    <xf numFmtId="4" fontId="24" fillId="0" borderId="1" xfId="0" applyNumberFormat="1" applyFont="1" applyFill="1" applyBorder="1" applyAlignment="1">
      <alignment vertical="center"/>
    </xf>
    <xf numFmtId="0" fontId="23" fillId="0" borderId="1" xfId="28" applyFont="1" applyFill="1" applyBorder="1" applyAlignment="1">
      <alignment horizontal="center" vertical="center"/>
    </xf>
    <xf numFmtId="0" fontId="2" fillId="0" borderId="0" xfId="23" applyFill="1"/>
    <xf numFmtId="0" fontId="26" fillId="0" borderId="0" xfId="0" applyFont="1" applyFill="1"/>
    <xf numFmtId="0" fontId="27" fillId="0" borderId="1" xfId="8" applyFont="1" applyFill="1" applyBorder="1" applyAlignment="1">
      <alignment horizontal="center" vertical="center" textRotation="90" wrapText="1"/>
    </xf>
    <xf numFmtId="0" fontId="26" fillId="0" borderId="0" xfId="0" applyFont="1" applyFill="1" applyAlignment="1">
      <alignment vertical="center"/>
    </xf>
    <xf numFmtId="4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3" fillId="0" borderId="0" xfId="8" applyFill="1"/>
    <xf numFmtId="4" fontId="15" fillId="0" borderId="1" xfId="0" applyNumberFormat="1" applyFont="1" applyFill="1" applyBorder="1" applyAlignment="1">
      <alignment horizontal="right" wrapText="1"/>
    </xf>
    <xf numFmtId="4" fontId="27" fillId="0" borderId="1" xfId="0" applyNumberFormat="1" applyFont="1" applyFill="1" applyBorder="1" applyAlignment="1">
      <alignment horizontal="right"/>
    </xf>
    <xf numFmtId="0" fontId="32" fillId="0" borderId="1" xfId="28" applyFont="1" applyFill="1" applyBorder="1" applyAlignment="1">
      <alignment horizontal="left"/>
    </xf>
    <xf numFmtId="4" fontId="15" fillId="0" borderId="1" xfId="0" applyNumberFormat="1" applyFont="1" applyFill="1" applyBorder="1"/>
    <xf numFmtId="0" fontId="27" fillId="0" borderId="1" xfId="0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 wrapText="1"/>
    </xf>
    <xf numFmtId="3" fontId="27" fillId="0" borderId="1" xfId="0" applyNumberFormat="1" applyFont="1" applyFill="1" applyBorder="1" applyAlignment="1">
      <alignment horizontal="right"/>
    </xf>
    <xf numFmtId="3" fontId="27" fillId="0" borderId="1" xfId="0" applyNumberFormat="1" applyFont="1" applyFill="1" applyBorder="1" applyAlignment="1">
      <alignment horizontal="center"/>
    </xf>
    <xf numFmtId="1" fontId="23" fillId="0" borderId="1" xfId="28" applyNumberFormat="1" applyFont="1" applyFill="1" applyBorder="1" applyAlignment="1">
      <alignment horizontal="center"/>
    </xf>
    <xf numFmtId="165" fontId="19" fillId="0" borderId="1" xfId="0" applyNumberFormat="1" applyFont="1" applyFill="1" applyBorder="1" applyAlignment="1">
      <alignment horizontal="left" wrapText="1"/>
    </xf>
    <xf numFmtId="4" fontId="27" fillId="0" borderId="1" xfId="0" applyNumberFormat="1" applyFont="1" applyFill="1" applyBorder="1" applyAlignment="1">
      <alignment horizontal="center"/>
    </xf>
    <xf numFmtId="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17" fillId="0" borderId="0" xfId="0" applyFont="1" applyFill="1" applyAlignment="1">
      <alignment horizontal="right"/>
    </xf>
    <xf numFmtId="0" fontId="27" fillId="0" borderId="1" xfId="0" applyFont="1" applyFill="1" applyBorder="1" applyAlignment="1">
      <alignment horizontal="center" vertical="center" wrapText="1"/>
    </xf>
    <xf numFmtId="0" fontId="18" fillId="0" borderId="1" xfId="28" applyFont="1" applyFill="1" applyBorder="1" applyAlignment="1">
      <alignment horizontal="left" vertical="center"/>
    </xf>
    <xf numFmtId="165" fontId="13" fillId="0" borderId="1" xfId="0" applyNumberFormat="1" applyFont="1" applyFill="1" applyBorder="1" applyAlignment="1">
      <alignment horizontal="left" wrapText="1"/>
    </xf>
    <xf numFmtId="0" fontId="13" fillId="0" borderId="5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65" fontId="13" fillId="0" borderId="1" xfId="0" applyNumberFormat="1" applyFont="1" applyFill="1" applyBorder="1" applyAlignment="1">
      <alignment horizontal="right"/>
    </xf>
    <xf numFmtId="166" fontId="13" fillId="0" borderId="1" xfId="0" applyNumberFormat="1" applyFont="1" applyFill="1" applyBorder="1" applyAlignment="1">
      <alignment horizontal="left"/>
    </xf>
    <xf numFmtId="165" fontId="20" fillId="0" borderId="1" xfId="0" applyNumberFormat="1" applyFont="1" applyFill="1" applyBorder="1" applyAlignment="1">
      <alignment wrapText="1"/>
    </xf>
    <xf numFmtId="0" fontId="33" fillId="0" borderId="0" xfId="8" applyFont="1" applyFill="1"/>
    <xf numFmtId="0" fontId="34" fillId="0" borderId="0" xfId="8" applyFont="1" applyFill="1"/>
    <xf numFmtId="0" fontId="35" fillId="0" borderId="0" xfId="8" applyFont="1" applyFill="1"/>
    <xf numFmtId="0" fontId="36" fillId="0" borderId="0" xfId="8" applyFont="1" applyFill="1"/>
    <xf numFmtId="0" fontId="37" fillId="0" borderId="0" xfId="0" applyFont="1" applyFill="1" applyAlignment="1"/>
    <xf numFmtId="0" fontId="37" fillId="0" borderId="0" xfId="0" applyFont="1" applyFill="1" applyAlignment="1">
      <alignment horizontal="right"/>
    </xf>
    <xf numFmtId="0" fontId="37" fillId="0" borderId="0" xfId="19" applyFont="1" applyFill="1" applyAlignment="1">
      <alignment wrapText="1"/>
    </xf>
    <xf numFmtId="0" fontId="37" fillId="0" borderId="0" xfId="0" applyFont="1" applyFill="1" applyAlignment="1">
      <alignment vertical="center"/>
    </xf>
    <xf numFmtId="0" fontId="3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right" vertical="center"/>
    </xf>
    <xf numFmtId="0" fontId="19" fillId="0" borderId="1" xfId="19" applyFont="1" applyFill="1" applyBorder="1" applyAlignment="1">
      <alignment horizontal="left"/>
    </xf>
    <xf numFmtId="0" fontId="19" fillId="0" borderId="1" xfId="19" applyFont="1" applyFill="1" applyBorder="1"/>
    <xf numFmtId="4" fontId="8" fillId="0" borderId="1" xfId="19" applyNumberFormat="1" applyFont="1" applyFill="1" applyBorder="1" applyAlignment="1">
      <alignment horizontal="right" wrapText="1"/>
    </xf>
    <xf numFmtId="1" fontId="8" fillId="0" borderId="1" xfId="19" applyNumberFormat="1" applyFont="1" applyFill="1" applyBorder="1" applyAlignment="1">
      <alignment horizontal="right" wrapText="1"/>
    </xf>
    <xf numFmtId="4" fontId="8" fillId="0" borderId="1" xfId="19" applyNumberFormat="1" applyFont="1" applyFill="1" applyBorder="1" applyAlignment="1">
      <alignment horizontal="center" wrapText="1"/>
    </xf>
    <xf numFmtId="4" fontId="8" fillId="0" borderId="1" xfId="19" applyNumberFormat="1" applyFont="1" applyFill="1" applyBorder="1"/>
    <xf numFmtId="1" fontId="8" fillId="0" borderId="1" xfId="19" applyNumberFormat="1" applyFont="1" applyFill="1" applyBorder="1"/>
    <xf numFmtId="0" fontId="8" fillId="0" borderId="1" xfId="19" applyFont="1" applyFill="1" applyBorder="1" applyAlignment="1">
      <alignment horizontal="center"/>
    </xf>
    <xf numFmtId="4" fontId="8" fillId="0" borderId="1" xfId="19" applyNumberFormat="1" applyFont="1" applyFill="1" applyBorder="1" applyAlignment="1">
      <alignment horizontal="right"/>
    </xf>
    <xf numFmtId="1" fontId="8" fillId="0" borderId="1" xfId="19" applyNumberFormat="1" applyFont="1" applyFill="1" applyBorder="1" applyAlignment="1">
      <alignment horizontal="right"/>
    </xf>
    <xf numFmtId="0" fontId="19" fillId="0" borderId="1" xfId="0" applyFont="1" applyFill="1" applyBorder="1"/>
    <xf numFmtId="0" fontId="19" fillId="0" borderId="6" xfId="19" applyFont="1" applyFill="1" applyBorder="1" applyAlignment="1">
      <alignment horizontal="left"/>
    </xf>
    <xf numFmtId="0" fontId="17" fillId="0" borderId="0" xfId="0" applyFont="1" applyFill="1" applyAlignment="1"/>
    <xf numFmtId="4" fontId="13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" fontId="15" fillId="0" borderId="1" xfId="33" applyNumberFormat="1" applyFont="1" applyFill="1" applyBorder="1" applyAlignment="1">
      <alignment horizontal="right"/>
    </xf>
    <xf numFmtId="166" fontId="13" fillId="0" borderId="5" xfId="0" applyNumberFormat="1" applyFont="1" applyFill="1" applyBorder="1" applyAlignment="1">
      <alignment horizontal="center"/>
    </xf>
    <xf numFmtId="0" fontId="16" fillId="0" borderId="0" xfId="0" applyFont="1" applyFill="1" applyAlignment="1"/>
    <xf numFmtId="0" fontId="16" fillId="0" borderId="0" xfId="0" applyFont="1" applyFill="1" applyAlignment="1">
      <alignment horizontal="right"/>
    </xf>
    <xf numFmtId="0" fontId="16" fillId="0" borderId="0" xfId="19" applyFont="1" applyFill="1" applyAlignment="1">
      <alignment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right" vertical="center"/>
    </xf>
    <xf numFmtId="0" fontId="19" fillId="0" borderId="1" xfId="0" applyFont="1" applyFill="1" applyBorder="1" applyAlignment="1">
      <alignment horizontal="center" vertical="center"/>
    </xf>
    <xf numFmtId="0" fontId="23" fillId="0" borderId="1" xfId="28" applyFont="1" applyFill="1" applyBorder="1" applyAlignment="1">
      <alignment horizontal="left"/>
    </xf>
    <xf numFmtId="166" fontId="19" fillId="0" borderId="1" xfId="0" applyNumberFormat="1" applyFont="1" applyFill="1" applyBorder="1" applyAlignment="1">
      <alignment horizontal="left"/>
    </xf>
    <xf numFmtId="0" fontId="10" fillId="0" borderId="0" xfId="0" applyFont="1" applyFill="1" applyAlignment="1"/>
    <xf numFmtId="0" fontId="10" fillId="0" borderId="0" xfId="19" applyFont="1" applyFill="1" applyAlignment="1">
      <alignment wrapText="1"/>
    </xf>
    <xf numFmtId="0" fontId="10" fillId="0" borderId="0" xfId="0" applyFont="1" applyFill="1" applyAlignment="1">
      <alignment vertical="center"/>
    </xf>
    <xf numFmtId="0" fontId="26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right" wrapText="1"/>
    </xf>
    <xf numFmtId="165" fontId="22" fillId="0" borderId="1" xfId="0" applyNumberFormat="1" applyFont="1" applyFill="1" applyBorder="1" applyAlignment="1">
      <alignment horizontal="center" wrapText="1"/>
    </xf>
    <xf numFmtId="3" fontId="22" fillId="0" borderId="1" xfId="0" applyNumberFormat="1" applyFont="1" applyFill="1" applyBorder="1" applyAlignment="1">
      <alignment horizontal="center" wrapText="1"/>
    </xf>
    <xf numFmtId="1" fontId="22" fillId="0" borderId="1" xfId="0" applyNumberFormat="1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165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wrapText="1"/>
    </xf>
    <xf numFmtId="4" fontId="8" fillId="0" borderId="1" xfId="0" applyNumberFormat="1" applyFont="1" applyFill="1" applyBorder="1" applyAlignment="1">
      <alignment horizontal="center"/>
    </xf>
    <xf numFmtId="165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/>
    </xf>
    <xf numFmtId="165" fontId="8" fillId="0" borderId="1" xfId="0" applyNumberFormat="1" applyFont="1" applyFill="1" applyBorder="1" applyAlignment="1">
      <alignment horizontal="center" wrapText="1"/>
    </xf>
    <xf numFmtId="3" fontId="8" fillId="0" borderId="1" xfId="0" applyNumberFormat="1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left" wrapText="1"/>
    </xf>
    <xf numFmtId="0" fontId="11" fillId="0" borderId="8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2" fontId="16" fillId="0" borderId="1" xfId="19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textRotation="90" wrapText="1"/>
    </xf>
    <xf numFmtId="0" fontId="16" fillId="0" borderId="3" xfId="0" applyFont="1" applyFill="1" applyBorder="1" applyAlignment="1">
      <alignment horizontal="center" vertical="center" textRotation="90" wrapText="1"/>
    </xf>
    <xf numFmtId="0" fontId="16" fillId="0" borderId="4" xfId="0" applyFont="1" applyFill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horizontal="center" vertical="center"/>
    </xf>
    <xf numFmtId="2" fontId="16" fillId="0" borderId="2" xfId="19" applyNumberFormat="1" applyFont="1" applyFill="1" applyBorder="1" applyAlignment="1">
      <alignment horizontal="center" vertical="center" textRotation="90" wrapText="1"/>
    </xf>
    <xf numFmtId="2" fontId="16" fillId="0" borderId="4" xfId="19" applyNumberFormat="1" applyFont="1" applyFill="1" applyBorder="1" applyAlignment="1">
      <alignment horizontal="center" vertical="center" textRotation="90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6" fontId="13" fillId="0" borderId="6" xfId="0" applyNumberFormat="1" applyFont="1" applyFill="1" applyBorder="1" applyAlignment="1">
      <alignment horizontal="left"/>
    </xf>
    <xf numFmtId="166" fontId="13" fillId="0" borderId="5" xfId="0" applyNumberFormat="1" applyFont="1" applyFill="1" applyBorder="1" applyAlignment="1">
      <alignment horizontal="left"/>
    </xf>
    <xf numFmtId="2" fontId="16" fillId="0" borderId="2" xfId="0" applyNumberFormat="1" applyFont="1" applyFill="1" applyBorder="1" applyAlignment="1">
      <alignment horizontal="center" vertical="center" textRotation="90" wrapText="1"/>
    </xf>
    <xf numFmtId="2" fontId="16" fillId="0" borderId="4" xfId="0" applyNumberFormat="1" applyFont="1" applyFill="1" applyBorder="1" applyAlignment="1">
      <alignment horizontal="center" vertical="center" textRotation="90" wrapText="1"/>
    </xf>
    <xf numFmtId="0" fontId="25" fillId="0" borderId="0" xfId="19" applyFont="1" applyFill="1" applyAlignment="1">
      <alignment horizontal="center" vertical="center" wrapText="1"/>
    </xf>
    <xf numFmtId="0" fontId="19" fillId="0" borderId="1" xfId="29" applyFont="1" applyFill="1" applyBorder="1" applyAlignment="1">
      <alignment horizontal="center" vertical="center" wrapText="1"/>
    </xf>
    <xf numFmtId="0" fontId="19" fillId="0" borderId="1" xfId="29" applyFont="1" applyFill="1" applyBorder="1" applyAlignment="1">
      <alignment vertical="center" wrapText="1"/>
    </xf>
    <xf numFmtId="0" fontId="19" fillId="0" borderId="1" xfId="29" applyFont="1" applyFill="1" applyBorder="1" applyAlignment="1">
      <alignment vertical="center"/>
    </xf>
    <xf numFmtId="0" fontId="19" fillId="0" borderId="1" xfId="29" applyFont="1" applyFill="1" applyBorder="1" applyAlignment="1">
      <alignment horizontal="center" vertical="center" textRotation="90" wrapText="1"/>
    </xf>
    <xf numFmtId="0" fontId="19" fillId="0" borderId="2" xfId="29" applyFont="1" applyFill="1" applyBorder="1" applyAlignment="1">
      <alignment horizontal="center" vertical="center" textRotation="90" wrapText="1"/>
    </xf>
    <xf numFmtId="0" fontId="19" fillId="0" borderId="3" xfId="29" applyFont="1" applyFill="1" applyBorder="1" applyAlignment="1">
      <alignment vertical="center" wrapText="1"/>
    </xf>
    <xf numFmtId="0" fontId="19" fillId="0" borderId="4" xfId="29" applyFont="1" applyFill="1" applyBorder="1" applyAlignment="1">
      <alignment vertical="center"/>
    </xf>
    <xf numFmtId="0" fontId="19" fillId="0" borderId="0" xfId="19" applyFont="1" applyFill="1" applyAlignment="1">
      <alignment horizontal="right" wrapText="1"/>
    </xf>
    <xf numFmtId="0" fontId="19" fillId="0" borderId="0" xfId="19" applyFont="1" applyFill="1" applyAlignment="1">
      <alignment horizontal="center" vertical="center" wrapText="1"/>
    </xf>
    <xf numFmtId="0" fontId="16" fillId="0" borderId="6" xfId="29" applyFont="1" applyFill="1" applyBorder="1" applyAlignment="1">
      <alignment horizontal="center" vertical="center"/>
    </xf>
    <xf numFmtId="0" fontId="16" fillId="0" borderId="7" xfId="29" applyFont="1" applyFill="1" applyBorder="1" applyAlignment="1">
      <alignment horizontal="center" vertical="center"/>
    </xf>
    <xf numFmtId="0" fontId="16" fillId="0" borderId="5" xfId="29" applyFont="1" applyFill="1" applyBorder="1" applyAlignment="1">
      <alignment horizontal="center" vertical="center"/>
    </xf>
    <xf numFmtId="0" fontId="19" fillId="0" borderId="1" xfId="29" applyFont="1" applyFill="1" applyBorder="1" applyAlignment="1">
      <alignment horizontal="center" textRotation="90" wrapText="1"/>
    </xf>
    <xf numFmtId="0" fontId="19" fillId="0" borderId="1" xfId="29" applyFont="1" applyFill="1" applyBorder="1" applyAlignment="1">
      <alignment horizontal="center" wrapText="1"/>
    </xf>
    <xf numFmtId="0" fontId="19" fillId="0" borderId="3" xfId="29" applyFont="1" applyFill="1" applyBorder="1" applyAlignment="1">
      <alignment horizontal="center" vertical="center" wrapText="1"/>
    </xf>
    <xf numFmtId="0" fontId="19" fillId="0" borderId="4" xfId="29" applyFont="1" applyFill="1" applyBorder="1" applyAlignment="1">
      <alignment horizontal="center" vertical="center"/>
    </xf>
    <xf numFmtId="0" fontId="19" fillId="0" borderId="4" xfId="29" applyFont="1" applyFill="1" applyBorder="1" applyAlignment="1">
      <alignment vertical="center" wrapText="1"/>
    </xf>
    <xf numFmtId="0" fontId="19" fillId="0" borderId="2" xfId="29" applyFont="1" applyFill="1" applyBorder="1" applyAlignment="1">
      <alignment horizontal="center" textRotation="90" wrapText="1"/>
    </xf>
    <xf numFmtId="0" fontId="19" fillId="0" borderId="3" xfId="29" applyFont="1" applyFill="1" applyBorder="1" applyAlignment="1">
      <alignment horizontal="center" wrapText="1"/>
    </xf>
    <xf numFmtId="0" fontId="19" fillId="0" borderId="4" xfId="29" applyFont="1" applyFill="1" applyBorder="1" applyAlignment="1">
      <alignment horizontal="center" wrapText="1"/>
    </xf>
    <xf numFmtId="0" fontId="19" fillId="0" borderId="3" xfId="29" applyFont="1" applyFill="1" applyBorder="1" applyAlignment="1">
      <alignment horizontal="center" textRotation="90" wrapText="1"/>
    </xf>
    <xf numFmtId="0" fontId="19" fillId="0" borderId="4" xfId="29" applyFont="1" applyFill="1" applyBorder="1" applyAlignment="1">
      <alignment horizontal="center" textRotation="90" wrapText="1"/>
    </xf>
    <xf numFmtId="0" fontId="19" fillId="0" borderId="2" xfId="29" applyFont="1" applyFill="1" applyBorder="1" applyAlignment="1">
      <alignment horizontal="center" vertical="center" wrapText="1"/>
    </xf>
    <xf numFmtId="0" fontId="19" fillId="0" borderId="4" xfId="2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2" fontId="27" fillId="0" borderId="1" xfId="0" applyNumberFormat="1" applyFont="1" applyFill="1" applyBorder="1" applyAlignment="1">
      <alignment horizontal="center" vertical="center" textRotation="90" wrapText="1"/>
    </xf>
    <xf numFmtId="0" fontId="14" fillId="0" borderId="8" xfId="23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4" fontId="27" fillId="0" borderId="2" xfId="0" applyNumberFormat="1" applyFont="1" applyFill="1" applyBorder="1" applyAlignment="1">
      <alignment horizontal="center" vertical="center" textRotation="90" wrapText="1"/>
    </xf>
    <xf numFmtId="4" fontId="27" fillId="0" borderId="3" xfId="0" applyNumberFormat="1" applyFont="1" applyFill="1" applyBorder="1" applyAlignment="1">
      <alignment horizontal="center" vertical="center" textRotation="90" wrapText="1"/>
    </xf>
    <xf numFmtId="4" fontId="27" fillId="0" borderId="4" xfId="0" applyNumberFormat="1" applyFont="1" applyFill="1" applyBorder="1" applyAlignment="1">
      <alignment horizontal="center" vertical="center" textRotation="90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8" fillId="0" borderId="1" xfId="32" applyFont="1" applyFill="1" applyBorder="1" applyAlignment="1">
      <alignment horizontal="center" vertical="center" textRotation="90" wrapText="1"/>
    </xf>
    <xf numFmtId="0" fontId="27" fillId="0" borderId="1" xfId="0" applyFont="1" applyFill="1" applyBorder="1" applyAlignment="1">
      <alignment horizontal="center" vertical="center" textRotation="90" wrapText="1"/>
    </xf>
    <xf numFmtId="0" fontId="8" fillId="0" borderId="0" xfId="19" applyFont="1" applyFill="1" applyAlignment="1">
      <alignment horizontal="center" wrapText="1"/>
    </xf>
    <xf numFmtId="0" fontId="0" fillId="0" borderId="0" xfId="0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</cellXfs>
  <cellStyles count="34">
    <cellStyle name="Excel Built-in Normal" xfId="10"/>
    <cellStyle name="Excel Built-in Normal 1" xfId="22"/>
    <cellStyle name="Excel Built-in Normal 2 2" xfId="14"/>
    <cellStyle name="Обычный" xfId="0" builtinId="0"/>
    <cellStyle name="Обычный 10" xfId="11"/>
    <cellStyle name="Обычный 11" xfId="19"/>
    <cellStyle name="Обычный 13" xfId="17"/>
    <cellStyle name="Обычный 14" xfId="1"/>
    <cellStyle name="Обычный 15" xfId="24"/>
    <cellStyle name="Обычный 17" xfId="6"/>
    <cellStyle name="Обычный 18" xfId="4"/>
    <cellStyle name="Обычный 19" xfId="5"/>
    <cellStyle name="Обычный 2" xfId="9"/>
    <cellStyle name="Обычный 2 10" xfId="12"/>
    <cellStyle name="Обычный 2 2 2" xfId="16"/>
    <cellStyle name="Обычный 2 3" xfId="26"/>
    <cellStyle name="Обычный 2 6" xfId="32"/>
    <cellStyle name="Обычный 2 8" xfId="29"/>
    <cellStyle name="Обычный 2 9" xfId="31"/>
    <cellStyle name="Обычный 21" xfId="7"/>
    <cellStyle name="Обычный 3" xfId="2"/>
    <cellStyle name="Обычный 3 16" xfId="8"/>
    <cellStyle name="Обычный 3 2" xfId="27"/>
    <cellStyle name="Обычный 3 3" xfId="15"/>
    <cellStyle name="Обычный 4" xfId="3"/>
    <cellStyle name="Обычный 4 2" xfId="13"/>
    <cellStyle name="Обычный 4 2 2 2" xfId="23"/>
    <cellStyle name="Обычный 5" xfId="20"/>
    <cellStyle name="Обычный 6" xfId="18"/>
    <cellStyle name="Обычный 7" xfId="33"/>
    <cellStyle name="Обычный 8" xfId="30"/>
    <cellStyle name="Обычный 9" xfId="21"/>
    <cellStyle name="Обычный_Лист1" xfId="28"/>
    <cellStyle name="Финансовый 2" xfId="25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99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243"/>
  <sheetViews>
    <sheetView topLeftCell="B1" zoomScale="10" zoomScaleNormal="10" workbookViewId="0">
      <selection activeCell="I95" sqref="I95"/>
    </sheetView>
  </sheetViews>
  <sheetFormatPr defaultRowHeight="15"/>
  <cols>
    <col min="1" max="1" width="9.140625" style="1" hidden="1" customWidth="1"/>
    <col min="2" max="2" width="26.42578125" style="1" customWidth="1"/>
    <col min="3" max="3" width="253.42578125" style="1" customWidth="1"/>
    <col min="4" max="4" width="58.85546875" style="1" customWidth="1"/>
    <col min="5" max="5" width="72.140625" style="1" customWidth="1"/>
    <col min="6" max="6" width="53.5703125" style="1" customWidth="1"/>
    <col min="7" max="9" width="54.28515625" style="1" customWidth="1"/>
    <col min="10" max="10" width="49.28515625" style="1" customWidth="1"/>
    <col min="11" max="11" width="52.85546875" style="1" customWidth="1"/>
    <col min="12" max="12" width="47.85546875" style="1" customWidth="1"/>
    <col min="13" max="13" width="40.140625" style="16" customWidth="1"/>
    <col min="14" max="14" width="44.42578125" style="1" customWidth="1"/>
    <col min="15" max="15" width="43.7109375" style="1" customWidth="1"/>
    <col min="16" max="16" width="58.5703125" style="1" customWidth="1"/>
    <col min="17" max="17" width="41.42578125" style="1" customWidth="1"/>
    <col min="18" max="18" width="42.5703125" style="1" customWidth="1"/>
    <col min="19" max="19" width="43.85546875" style="1" customWidth="1"/>
    <col min="20" max="20" width="60.28515625" style="1" customWidth="1"/>
    <col min="21" max="21" width="35.42578125" style="1" customWidth="1"/>
    <col min="22" max="22" width="49.140625" style="1" customWidth="1"/>
    <col min="23" max="23" width="34.28515625" style="1" customWidth="1"/>
    <col min="24" max="24" width="58" style="1" customWidth="1"/>
    <col min="25" max="25" width="66.28515625" style="1" customWidth="1"/>
    <col min="26" max="26" width="51.85546875" style="1" customWidth="1"/>
    <col min="27" max="27" width="41.42578125" style="1" customWidth="1"/>
    <col min="28" max="28" width="69" style="1" customWidth="1"/>
    <col min="29" max="29" width="96.7109375" style="1" customWidth="1"/>
    <col min="30" max="30" width="55.28515625" style="1" customWidth="1"/>
    <col min="31" max="32" width="51" style="1" customWidth="1"/>
    <col min="33" max="33" width="63.28515625" style="1" customWidth="1"/>
    <col min="34" max="34" width="38.140625" style="1" customWidth="1"/>
    <col min="35" max="35" width="41.7109375" style="1" customWidth="1"/>
    <col min="36" max="36" width="36.7109375" style="1" customWidth="1"/>
    <col min="37" max="16384" width="9.140625" style="1"/>
  </cols>
  <sheetData>
    <row r="1" spans="2:36" s="46" customFormat="1" ht="126.75" customHeight="1">
      <c r="N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70"/>
      <c r="AC1" s="8"/>
      <c r="AJ1" s="61" t="s">
        <v>898</v>
      </c>
    </row>
    <row r="2" spans="2:36" s="46" customFormat="1" ht="126.75" customHeight="1"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0"/>
      <c r="AC2" s="8"/>
      <c r="AJ2" s="80" t="s">
        <v>890</v>
      </c>
    </row>
    <row r="3" spans="2:36" s="46" customFormat="1" ht="126.75" customHeight="1"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0"/>
      <c r="AC3" s="8"/>
      <c r="AJ3" s="80" t="s">
        <v>163</v>
      </c>
    </row>
    <row r="4" spans="2:36" s="46" customFormat="1" ht="126.75" customHeight="1"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0"/>
      <c r="AC4" s="8"/>
      <c r="AJ4" s="80"/>
    </row>
    <row r="5" spans="2:36" ht="90">
      <c r="B5" s="129" t="s">
        <v>164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</row>
    <row r="6" spans="2:36" ht="90">
      <c r="B6" s="130" t="s">
        <v>583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</row>
    <row r="7" spans="2:36" ht="76.5">
      <c r="B7" s="12" t="s">
        <v>165</v>
      </c>
      <c r="C7" s="131" t="s">
        <v>895</v>
      </c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</row>
    <row r="8" spans="2:36" ht="76.5">
      <c r="B8" s="12" t="s">
        <v>166</v>
      </c>
      <c r="C8" s="132" t="s">
        <v>172</v>
      </c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</row>
    <row r="9" spans="2:36" ht="45.75" customHeight="1">
      <c r="B9" s="133" t="s">
        <v>0</v>
      </c>
      <c r="C9" s="133" t="s">
        <v>1</v>
      </c>
      <c r="D9" s="134" t="s">
        <v>173</v>
      </c>
      <c r="E9" s="134" t="s">
        <v>174</v>
      </c>
      <c r="F9" s="137" t="s">
        <v>2</v>
      </c>
      <c r="G9" s="133" t="s">
        <v>167</v>
      </c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40" t="s">
        <v>3</v>
      </c>
      <c r="X9" s="140"/>
      <c r="Y9" s="140"/>
      <c r="Z9" s="140"/>
      <c r="AA9" s="140"/>
      <c r="AB9" s="140"/>
      <c r="AC9" s="140"/>
      <c r="AD9" s="140"/>
      <c r="AE9" s="140"/>
      <c r="AF9" s="140"/>
      <c r="AG9" s="140"/>
      <c r="AH9" s="141" t="s">
        <v>4</v>
      </c>
      <c r="AI9" s="141" t="s">
        <v>5</v>
      </c>
      <c r="AJ9" s="141" t="s">
        <v>6</v>
      </c>
    </row>
    <row r="10" spans="2:36" ht="45.75">
      <c r="B10" s="133"/>
      <c r="C10" s="133"/>
      <c r="D10" s="135"/>
      <c r="E10" s="135"/>
      <c r="F10" s="138"/>
      <c r="G10" s="133" t="s">
        <v>7</v>
      </c>
      <c r="H10" s="133"/>
      <c r="I10" s="133"/>
      <c r="J10" s="133"/>
      <c r="K10" s="133"/>
      <c r="L10" s="133"/>
      <c r="M10" s="147" t="s">
        <v>8</v>
      </c>
      <c r="N10" s="148"/>
      <c r="O10" s="147" t="s">
        <v>9</v>
      </c>
      <c r="P10" s="148"/>
      <c r="Q10" s="147" t="s">
        <v>10</v>
      </c>
      <c r="R10" s="148"/>
      <c r="S10" s="147" t="s">
        <v>11</v>
      </c>
      <c r="T10" s="148"/>
      <c r="U10" s="147" t="s">
        <v>12</v>
      </c>
      <c r="V10" s="148"/>
      <c r="W10" s="145" t="s">
        <v>13</v>
      </c>
      <c r="X10" s="145" t="s">
        <v>175</v>
      </c>
      <c r="Y10" s="145" t="s">
        <v>15</v>
      </c>
      <c r="Z10" s="145" t="s">
        <v>16</v>
      </c>
      <c r="AA10" s="145" t="s">
        <v>17</v>
      </c>
      <c r="AB10" s="145" t="s">
        <v>176</v>
      </c>
      <c r="AC10" s="145" t="s">
        <v>177</v>
      </c>
      <c r="AD10" s="145" t="s">
        <v>178</v>
      </c>
      <c r="AE10" s="153" t="s">
        <v>19</v>
      </c>
      <c r="AF10" s="153" t="s">
        <v>20</v>
      </c>
      <c r="AG10" s="153" t="s">
        <v>179</v>
      </c>
      <c r="AH10" s="142"/>
      <c r="AI10" s="142"/>
      <c r="AJ10" s="142"/>
    </row>
    <row r="11" spans="2:36" ht="303" customHeight="1">
      <c r="B11" s="133"/>
      <c r="C11" s="133"/>
      <c r="D11" s="135"/>
      <c r="E11" s="136"/>
      <c r="F11" s="139"/>
      <c r="G11" s="13" t="s">
        <v>21</v>
      </c>
      <c r="H11" s="13" t="s">
        <v>22</v>
      </c>
      <c r="I11" s="13" t="s">
        <v>23</v>
      </c>
      <c r="J11" s="13" t="s">
        <v>24</v>
      </c>
      <c r="K11" s="13" t="s">
        <v>25</v>
      </c>
      <c r="L11" s="13" t="s">
        <v>26</v>
      </c>
      <c r="M11" s="149"/>
      <c r="N11" s="150"/>
      <c r="O11" s="149"/>
      <c r="P11" s="150"/>
      <c r="Q11" s="149"/>
      <c r="R11" s="150"/>
      <c r="S11" s="149"/>
      <c r="T11" s="150"/>
      <c r="U11" s="149"/>
      <c r="V11" s="150"/>
      <c r="W11" s="146"/>
      <c r="X11" s="146"/>
      <c r="Y11" s="146"/>
      <c r="Z11" s="146"/>
      <c r="AA11" s="146"/>
      <c r="AB11" s="146"/>
      <c r="AC11" s="146"/>
      <c r="AD11" s="146"/>
      <c r="AE11" s="154"/>
      <c r="AF11" s="154"/>
      <c r="AG11" s="154"/>
      <c r="AH11" s="142"/>
      <c r="AI11" s="142"/>
      <c r="AJ11" s="142"/>
    </row>
    <row r="12" spans="2:36" ht="45.75">
      <c r="B12" s="133"/>
      <c r="C12" s="133"/>
      <c r="D12" s="136"/>
      <c r="E12" s="59" t="s">
        <v>180</v>
      </c>
      <c r="F12" s="58" t="s">
        <v>27</v>
      </c>
      <c r="G12" s="59" t="s">
        <v>27</v>
      </c>
      <c r="H12" s="59" t="s">
        <v>27</v>
      </c>
      <c r="I12" s="59" t="s">
        <v>27</v>
      </c>
      <c r="J12" s="59" t="s">
        <v>27</v>
      </c>
      <c r="K12" s="59" t="s">
        <v>27</v>
      </c>
      <c r="L12" s="59" t="s">
        <v>27</v>
      </c>
      <c r="M12" s="4" t="s">
        <v>28</v>
      </c>
      <c r="N12" s="59" t="s">
        <v>27</v>
      </c>
      <c r="O12" s="59" t="s">
        <v>29</v>
      </c>
      <c r="P12" s="59" t="s">
        <v>27</v>
      </c>
      <c r="Q12" s="59" t="s">
        <v>29</v>
      </c>
      <c r="R12" s="59" t="s">
        <v>27</v>
      </c>
      <c r="S12" s="59" t="s">
        <v>29</v>
      </c>
      <c r="T12" s="59" t="s">
        <v>27</v>
      </c>
      <c r="U12" s="59" t="s">
        <v>30</v>
      </c>
      <c r="V12" s="59" t="s">
        <v>27</v>
      </c>
      <c r="W12" s="59" t="s">
        <v>27</v>
      </c>
      <c r="X12" s="59" t="s">
        <v>27</v>
      </c>
      <c r="Y12" s="59" t="s">
        <v>27</v>
      </c>
      <c r="Z12" s="59" t="s">
        <v>27</v>
      </c>
      <c r="AA12" s="59" t="s">
        <v>27</v>
      </c>
      <c r="AB12" s="59" t="s">
        <v>27</v>
      </c>
      <c r="AC12" s="59" t="s">
        <v>27</v>
      </c>
      <c r="AD12" s="59" t="s">
        <v>27</v>
      </c>
      <c r="AE12" s="59" t="s">
        <v>27</v>
      </c>
      <c r="AF12" s="59" t="s">
        <v>27</v>
      </c>
      <c r="AG12" s="59" t="s">
        <v>27</v>
      </c>
      <c r="AH12" s="143"/>
      <c r="AI12" s="143"/>
      <c r="AJ12" s="143"/>
    </row>
    <row r="13" spans="2:36" ht="45.75">
      <c r="B13" s="60">
        <v>1</v>
      </c>
      <c r="C13" s="60">
        <v>2</v>
      </c>
      <c r="D13" s="60">
        <v>3</v>
      </c>
      <c r="E13" s="60">
        <v>4</v>
      </c>
      <c r="F13" s="60">
        <v>5</v>
      </c>
      <c r="G13" s="60">
        <v>6</v>
      </c>
      <c r="H13" s="60">
        <v>7</v>
      </c>
      <c r="I13" s="60">
        <v>8</v>
      </c>
      <c r="J13" s="60">
        <v>9</v>
      </c>
      <c r="K13" s="60">
        <v>10</v>
      </c>
      <c r="L13" s="60">
        <v>11</v>
      </c>
      <c r="M13" s="14">
        <v>12</v>
      </c>
      <c r="N13" s="60">
        <v>13</v>
      </c>
      <c r="O13" s="60">
        <v>14</v>
      </c>
      <c r="P13" s="60">
        <v>15</v>
      </c>
      <c r="Q13" s="60">
        <v>16</v>
      </c>
      <c r="R13" s="60">
        <v>17</v>
      </c>
      <c r="S13" s="60">
        <v>18</v>
      </c>
      <c r="T13" s="60">
        <v>19</v>
      </c>
      <c r="U13" s="60">
        <v>20</v>
      </c>
      <c r="V13" s="60">
        <v>21</v>
      </c>
      <c r="W13" s="60">
        <v>22</v>
      </c>
      <c r="X13" s="60">
        <v>23</v>
      </c>
      <c r="Y13" s="60">
        <v>24</v>
      </c>
      <c r="Z13" s="60">
        <v>25</v>
      </c>
      <c r="AA13" s="60">
        <v>26</v>
      </c>
      <c r="AB13" s="60">
        <v>27</v>
      </c>
      <c r="AC13" s="60">
        <v>28</v>
      </c>
      <c r="AD13" s="60">
        <v>29</v>
      </c>
      <c r="AE13" s="60">
        <v>30</v>
      </c>
      <c r="AF13" s="60">
        <v>31</v>
      </c>
      <c r="AG13" s="60">
        <v>32</v>
      </c>
      <c r="AH13" s="60">
        <v>33</v>
      </c>
      <c r="AI13" s="60">
        <v>34</v>
      </c>
      <c r="AJ13" s="60">
        <v>35</v>
      </c>
    </row>
    <row r="14" spans="2:36" ht="61.5">
      <c r="B14" s="144" t="s">
        <v>181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</row>
    <row r="15" spans="2:36" s="23" customFormat="1" ht="61.5">
      <c r="B15" s="49" t="s">
        <v>582</v>
      </c>
      <c r="C15" s="24"/>
      <c r="D15" s="19" t="s">
        <v>131</v>
      </c>
      <c r="E15" s="20">
        <f>AVERAGE(E17:E63)</f>
        <v>1.007232092198582</v>
      </c>
      <c r="F15" s="5">
        <f t="shared" ref="F15:AG15" si="0">F16+F68</f>
        <v>82117834.670000002</v>
      </c>
      <c r="G15" s="5">
        <f t="shared" si="0"/>
        <v>0</v>
      </c>
      <c r="H15" s="5">
        <f t="shared" si="0"/>
        <v>0</v>
      </c>
      <c r="I15" s="5">
        <f t="shared" si="0"/>
        <v>0</v>
      </c>
      <c r="J15" s="5">
        <f t="shared" si="0"/>
        <v>0</v>
      </c>
      <c r="K15" s="5">
        <f t="shared" si="0"/>
        <v>597348</v>
      </c>
      <c r="L15" s="5">
        <f t="shared" si="0"/>
        <v>0</v>
      </c>
      <c r="M15" s="25">
        <f t="shared" si="0"/>
        <v>0</v>
      </c>
      <c r="N15" s="5">
        <f t="shared" si="0"/>
        <v>0</v>
      </c>
      <c r="O15" s="5">
        <f t="shared" si="0"/>
        <v>16242.12</v>
      </c>
      <c r="P15" s="5">
        <f t="shared" si="0"/>
        <v>73750185.430000007</v>
      </c>
      <c r="Q15" s="5">
        <f t="shared" si="0"/>
        <v>0</v>
      </c>
      <c r="R15" s="5">
        <f t="shared" si="0"/>
        <v>0</v>
      </c>
      <c r="S15" s="5">
        <f t="shared" si="0"/>
        <v>1379.5099999999998</v>
      </c>
      <c r="T15" s="5">
        <f t="shared" si="0"/>
        <v>5125367.97</v>
      </c>
      <c r="U15" s="5">
        <f t="shared" si="0"/>
        <v>0</v>
      </c>
      <c r="V15" s="5">
        <f t="shared" si="0"/>
        <v>0</v>
      </c>
      <c r="W15" s="5">
        <f t="shared" si="0"/>
        <v>0</v>
      </c>
      <c r="X15" s="5">
        <f t="shared" si="0"/>
        <v>0</v>
      </c>
      <c r="Y15" s="5">
        <f t="shared" si="0"/>
        <v>0</v>
      </c>
      <c r="Z15" s="5">
        <f t="shared" si="0"/>
        <v>0</v>
      </c>
      <c r="AA15" s="5">
        <f t="shared" si="0"/>
        <v>0</v>
      </c>
      <c r="AB15" s="5">
        <f t="shared" si="0"/>
        <v>0</v>
      </c>
      <c r="AC15" s="5">
        <f t="shared" si="0"/>
        <v>0</v>
      </c>
      <c r="AD15" s="5">
        <f t="shared" si="0"/>
        <v>0</v>
      </c>
      <c r="AE15" s="5">
        <f t="shared" si="0"/>
        <v>940505.33000000007</v>
      </c>
      <c r="AF15" s="5">
        <f t="shared" si="0"/>
        <v>1879449.64</v>
      </c>
      <c r="AG15" s="5">
        <f t="shared" si="0"/>
        <v>0</v>
      </c>
      <c r="AH15" s="6" t="s">
        <v>131</v>
      </c>
      <c r="AI15" s="6" t="s">
        <v>131</v>
      </c>
      <c r="AJ15" s="6" t="s">
        <v>131</v>
      </c>
    </row>
    <row r="16" spans="2:36" s="23" customFormat="1" ht="61.5">
      <c r="B16" s="49" t="s">
        <v>391</v>
      </c>
      <c r="C16" s="24"/>
      <c r="D16" s="19" t="s">
        <v>131</v>
      </c>
      <c r="E16" s="20">
        <f>AVERAGE(E18:E64)</f>
        <v>1.0073227704202374</v>
      </c>
      <c r="F16" s="5">
        <f t="shared" ref="F16:AG16" si="1">F17+F19+F28+F30+F32+F34+F37+F40+F44+F46+F48+F52+F54+F56+F58+F62+F64+F66</f>
        <v>51890376.860000007</v>
      </c>
      <c r="G16" s="5">
        <f t="shared" si="1"/>
        <v>0</v>
      </c>
      <c r="H16" s="5">
        <f t="shared" si="1"/>
        <v>0</v>
      </c>
      <c r="I16" s="5">
        <f t="shared" si="1"/>
        <v>0</v>
      </c>
      <c r="J16" s="5">
        <f t="shared" si="1"/>
        <v>0</v>
      </c>
      <c r="K16" s="5">
        <f t="shared" si="1"/>
        <v>597348</v>
      </c>
      <c r="L16" s="5">
        <f t="shared" si="1"/>
        <v>0</v>
      </c>
      <c r="M16" s="25">
        <f t="shared" si="1"/>
        <v>0</v>
      </c>
      <c r="N16" s="5">
        <f t="shared" si="1"/>
        <v>0</v>
      </c>
      <c r="O16" s="5">
        <f t="shared" si="1"/>
        <v>10990.28</v>
      </c>
      <c r="P16" s="5">
        <f t="shared" si="1"/>
        <v>46821722.030000001</v>
      </c>
      <c r="Q16" s="5">
        <f t="shared" si="1"/>
        <v>0</v>
      </c>
      <c r="R16" s="5">
        <f t="shared" si="1"/>
        <v>0</v>
      </c>
      <c r="S16" s="5">
        <f t="shared" si="1"/>
        <v>857.57999999999993</v>
      </c>
      <c r="T16" s="5">
        <f t="shared" si="1"/>
        <v>2568651.2599999998</v>
      </c>
      <c r="U16" s="5">
        <f t="shared" si="1"/>
        <v>0</v>
      </c>
      <c r="V16" s="5">
        <f t="shared" si="1"/>
        <v>0</v>
      </c>
      <c r="W16" s="5">
        <f t="shared" si="1"/>
        <v>0</v>
      </c>
      <c r="X16" s="5">
        <f t="shared" si="1"/>
        <v>0</v>
      </c>
      <c r="Y16" s="5">
        <f t="shared" si="1"/>
        <v>0</v>
      </c>
      <c r="Z16" s="5">
        <f t="shared" si="1"/>
        <v>0</v>
      </c>
      <c r="AA16" s="5">
        <f t="shared" si="1"/>
        <v>0</v>
      </c>
      <c r="AB16" s="5">
        <f t="shared" si="1"/>
        <v>0</v>
      </c>
      <c r="AC16" s="5">
        <f t="shared" si="1"/>
        <v>0</v>
      </c>
      <c r="AD16" s="5">
        <f t="shared" si="1"/>
        <v>0</v>
      </c>
      <c r="AE16" s="5">
        <f t="shared" si="1"/>
        <v>498227.63000000006</v>
      </c>
      <c r="AF16" s="5">
        <f t="shared" si="1"/>
        <v>1579449.64</v>
      </c>
      <c r="AG16" s="5">
        <f t="shared" si="1"/>
        <v>0</v>
      </c>
      <c r="AH16" s="6" t="s">
        <v>131</v>
      </c>
      <c r="AI16" s="6" t="s">
        <v>131</v>
      </c>
      <c r="AJ16" s="6" t="s">
        <v>131</v>
      </c>
    </row>
    <row r="17" spans="1:36" s="2" customFormat="1" ht="61.5">
      <c r="B17" s="21" t="s">
        <v>96</v>
      </c>
      <c r="C17" s="3"/>
      <c r="D17" s="19" t="s">
        <v>131</v>
      </c>
      <c r="E17" s="20">
        <f>AVERAGE(E18:E18)</f>
        <v>1.0055000000000001</v>
      </c>
      <c r="F17" s="5">
        <f>F18</f>
        <v>2142518.84</v>
      </c>
      <c r="G17" s="5">
        <f t="shared" ref="G17:AG17" si="2">G18</f>
        <v>0</v>
      </c>
      <c r="H17" s="5">
        <f t="shared" si="2"/>
        <v>0</v>
      </c>
      <c r="I17" s="5">
        <f t="shared" si="2"/>
        <v>0</v>
      </c>
      <c r="J17" s="5">
        <f t="shared" si="2"/>
        <v>0</v>
      </c>
      <c r="K17" s="5">
        <f t="shared" si="2"/>
        <v>0</v>
      </c>
      <c r="L17" s="5">
        <f t="shared" si="2"/>
        <v>0</v>
      </c>
      <c r="M17" s="25">
        <f t="shared" si="2"/>
        <v>0</v>
      </c>
      <c r="N17" s="5">
        <f t="shared" si="2"/>
        <v>0</v>
      </c>
      <c r="O17" s="5">
        <f t="shared" si="2"/>
        <v>521</v>
      </c>
      <c r="P17" s="5">
        <v>2285877.7000000002</v>
      </c>
      <c r="Q17" s="5">
        <f t="shared" si="2"/>
        <v>0</v>
      </c>
      <c r="R17" s="5">
        <f t="shared" si="2"/>
        <v>0</v>
      </c>
      <c r="S17" s="5">
        <f t="shared" si="2"/>
        <v>0</v>
      </c>
      <c r="T17" s="5">
        <f t="shared" si="2"/>
        <v>0</v>
      </c>
      <c r="U17" s="5">
        <f t="shared" si="2"/>
        <v>0</v>
      </c>
      <c r="V17" s="5">
        <f t="shared" si="2"/>
        <v>0</v>
      </c>
      <c r="W17" s="5">
        <f t="shared" si="2"/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18">
        <f t="shared" si="2"/>
        <v>31662.84</v>
      </c>
      <c r="AF17" s="18">
        <f t="shared" si="2"/>
        <v>0</v>
      </c>
      <c r="AG17" s="5">
        <f t="shared" si="2"/>
        <v>0</v>
      </c>
      <c r="AH17" s="6" t="s">
        <v>131</v>
      </c>
      <c r="AI17" s="6" t="s">
        <v>131</v>
      </c>
      <c r="AJ17" s="6" t="s">
        <v>131</v>
      </c>
    </row>
    <row r="18" spans="1:36" s="2" customFormat="1" ht="61.5">
      <c r="A18" s="2">
        <v>1</v>
      </c>
      <c r="B18" s="17">
        <f>SUBTOTAL(103,$A18:A$18)</f>
        <v>1</v>
      </c>
      <c r="C18" s="3" t="s">
        <v>182</v>
      </c>
      <c r="D18" s="19" t="s">
        <v>201</v>
      </c>
      <c r="E18" s="20">
        <v>1.0055000000000001</v>
      </c>
      <c r="F18" s="5">
        <f>G18+H18+I18+J18+K18+L18+N18+P18+R18+T18+V18+W18+X18+Y18+Z18+AA18+AB18+AC18+AD18+AE18+AF18+AG18</f>
        <v>2142518.84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25">
        <v>0</v>
      </c>
      <c r="N18" s="5">
        <v>0</v>
      </c>
      <c r="O18" s="7">
        <v>521</v>
      </c>
      <c r="P18" s="7">
        <v>2110856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18">
        <f>ROUND(P18*1.5%,2)</f>
        <v>31662.84</v>
      </c>
      <c r="AF18" s="18">
        <v>0</v>
      </c>
      <c r="AG18" s="18">
        <v>0</v>
      </c>
      <c r="AH18" s="6" t="s">
        <v>49</v>
      </c>
      <c r="AI18" s="6">
        <v>2020</v>
      </c>
      <c r="AJ18" s="6">
        <v>2020</v>
      </c>
    </row>
    <row r="19" spans="1:36" s="2" customFormat="1" ht="61.5">
      <c r="B19" s="21" t="s">
        <v>209</v>
      </c>
      <c r="C19" s="3"/>
      <c r="D19" s="19" t="s">
        <v>131</v>
      </c>
      <c r="E19" s="20">
        <f>AVERAGE(E20:E27)</f>
        <v>1.0039750000000001</v>
      </c>
      <c r="F19" s="5">
        <f t="shared" ref="F19:AG19" si="3">SUM(F20:F27)</f>
        <v>14491975.379999999</v>
      </c>
      <c r="G19" s="5">
        <f t="shared" si="3"/>
        <v>0</v>
      </c>
      <c r="H19" s="5">
        <f t="shared" si="3"/>
        <v>0</v>
      </c>
      <c r="I19" s="5">
        <f t="shared" si="3"/>
        <v>0</v>
      </c>
      <c r="J19" s="5">
        <f t="shared" si="3"/>
        <v>0</v>
      </c>
      <c r="K19" s="5">
        <f t="shared" si="3"/>
        <v>0</v>
      </c>
      <c r="L19" s="5">
        <f t="shared" si="3"/>
        <v>0</v>
      </c>
      <c r="M19" s="25">
        <f t="shared" si="3"/>
        <v>0</v>
      </c>
      <c r="N19" s="5">
        <f t="shared" si="3"/>
        <v>0</v>
      </c>
      <c r="O19" s="5">
        <f t="shared" si="3"/>
        <v>2958.4</v>
      </c>
      <c r="P19" s="5">
        <f t="shared" si="3"/>
        <v>13156592.109999999</v>
      </c>
      <c r="Q19" s="5">
        <f t="shared" si="3"/>
        <v>0</v>
      </c>
      <c r="R19" s="5">
        <f t="shared" si="3"/>
        <v>0</v>
      </c>
      <c r="S19" s="5">
        <f t="shared" si="3"/>
        <v>419</v>
      </c>
      <c r="T19" s="5">
        <f t="shared" si="3"/>
        <v>981934.24</v>
      </c>
      <c r="U19" s="5">
        <f t="shared" si="3"/>
        <v>0</v>
      </c>
      <c r="V19" s="5">
        <f t="shared" si="3"/>
        <v>0</v>
      </c>
      <c r="W19" s="5">
        <f t="shared" si="3"/>
        <v>0</v>
      </c>
      <c r="X19" s="5">
        <f t="shared" si="3"/>
        <v>0</v>
      </c>
      <c r="Y19" s="5">
        <f t="shared" si="3"/>
        <v>0</v>
      </c>
      <c r="Z19" s="5">
        <f t="shared" si="3"/>
        <v>0</v>
      </c>
      <c r="AA19" s="5">
        <f t="shared" si="3"/>
        <v>0</v>
      </c>
      <c r="AB19" s="5">
        <f t="shared" si="3"/>
        <v>0</v>
      </c>
      <c r="AC19" s="5">
        <f t="shared" si="3"/>
        <v>0</v>
      </c>
      <c r="AD19" s="5">
        <f t="shared" si="3"/>
        <v>0</v>
      </c>
      <c r="AE19" s="5">
        <f t="shared" si="3"/>
        <v>197658.57</v>
      </c>
      <c r="AF19" s="5">
        <f t="shared" si="3"/>
        <v>155790.46000000002</v>
      </c>
      <c r="AG19" s="5">
        <f t="shared" si="3"/>
        <v>0</v>
      </c>
      <c r="AH19" s="6" t="s">
        <v>131</v>
      </c>
      <c r="AI19" s="6" t="s">
        <v>131</v>
      </c>
      <c r="AJ19" s="6" t="s">
        <v>131</v>
      </c>
    </row>
    <row r="20" spans="1:36" s="2" customFormat="1" ht="61.5">
      <c r="A20" s="2">
        <v>1</v>
      </c>
      <c r="B20" s="17">
        <f>SUBTOTAL(103,$A$18:A20)</f>
        <v>2</v>
      </c>
      <c r="C20" s="3" t="s">
        <v>183</v>
      </c>
      <c r="D20" s="19" t="s">
        <v>202</v>
      </c>
      <c r="E20" s="20">
        <v>1.0047999999999999</v>
      </c>
      <c r="F20" s="5">
        <f t="shared" ref="F20:F67" si="4">G20+H20+I20+J20+K20+L20+N20+P20+R20+T20+V20+W20+X20+Y20+Z20+AA20+AB20+AC20+AD20+AE20+AF20+AG20</f>
        <v>6213014.2000000002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25">
        <v>0</v>
      </c>
      <c r="N20" s="5">
        <v>0</v>
      </c>
      <c r="O20" s="5">
        <v>1441</v>
      </c>
      <c r="P20" s="94">
        <v>6128441.7000000002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95">
        <v>84572.5</v>
      </c>
      <c r="AF20" s="18">
        <v>0</v>
      </c>
      <c r="AG20" s="18">
        <v>0</v>
      </c>
      <c r="AH20" s="6" t="s">
        <v>49</v>
      </c>
      <c r="AI20" s="6">
        <v>2020</v>
      </c>
      <c r="AJ20" s="6">
        <v>2020</v>
      </c>
    </row>
    <row r="21" spans="1:36" s="2" customFormat="1" ht="61.5">
      <c r="A21" s="2">
        <v>1</v>
      </c>
      <c r="B21" s="17">
        <f>SUBTOTAL(103,$A$18:A21)</f>
        <v>3</v>
      </c>
      <c r="C21" s="3" t="s">
        <v>184</v>
      </c>
      <c r="D21" s="19" t="s">
        <v>201</v>
      </c>
      <c r="E21" s="20">
        <v>1</v>
      </c>
      <c r="F21" s="5">
        <f t="shared" si="4"/>
        <v>987000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25">
        <v>0</v>
      </c>
      <c r="N21" s="5">
        <v>0</v>
      </c>
      <c r="O21" s="5">
        <v>240</v>
      </c>
      <c r="P21" s="5">
        <v>972413.79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18">
        <f>ROUND(P21*1.5%,2)</f>
        <v>14586.21</v>
      </c>
      <c r="AF21" s="18">
        <v>0</v>
      </c>
      <c r="AG21" s="18">
        <v>0</v>
      </c>
      <c r="AH21" s="6" t="s">
        <v>49</v>
      </c>
      <c r="AI21" s="6">
        <v>2020</v>
      </c>
      <c r="AJ21" s="6">
        <v>2020</v>
      </c>
    </row>
    <row r="22" spans="1:36" s="2" customFormat="1" ht="61.5">
      <c r="A22" s="2">
        <v>1</v>
      </c>
      <c r="B22" s="17">
        <f>SUBTOTAL(103,$A$18:A22)</f>
        <v>4</v>
      </c>
      <c r="C22" s="3" t="s">
        <v>185</v>
      </c>
      <c r="D22" s="19" t="s">
        <v>203</v>
      </c>
      <c r="E22" s="20">
        <v>1.0003</v>
      </c>
      <c r="F22" s="5">
        <f t="shared" si="4"/>
        <v>61989.62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2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18">
        <f>ROUND(P22*1.5%,2)</f>
        <v>0</v>
      </c>
      <c r="AF22" s="50">
        <v>61989.62</v>
      </c>
      <c r="AG22" s="18">
        <v>0</v>
      </c>
      <c r="AH22" s="6">
        <v>2020</v>
      </c>
      <c r="AI22" s="6" t="s">
        <v>49</v>
      </c>
      <c r="AJ22" s="6" t="s">
        <v>49</v>
      </c>
    </row>
    <row r="23" spans="1:36" s="2" customFormat="1" ht="61.5">
      <c r="A23" s="2">
        <v>1</v>
      </c>
      <c r="B23" s="17">
        <f>SUBTOTAL(103,$A$18:A23)</f>
        <v>5</v>
      </c>
      <c r="C23" s="3" t="s">
        <v>198</v>
      </c>
      <c r="D23" s="19" t="s">
        <v>202</v>
      </c>
      <c r="E23" s="20">
        <v>1.0178</v>
      </c>
      <c r="F23" s="5">
        <f t="shared" si="4"/>
        <v>995484.92999999993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2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7">
        <v>419</v>
      </c>
      <c r="T23" s="7">
        <v>981934.24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7">
        <v>13550.69</v>
      </c>
      <c r="AF23" s="18">
        <v>0</v>
      </c>
      <c r="AG23" s="18">
        <v>0</v>
      </c>
      <c r="AH23" s="6" t="s">
        <v>49</v>
      </c>
      <c r="AI23" s="6">
        <v>2020</v>
      </c>
      <c r="AJ23" s="6">
        <v>2020</v>
      </c>
    </row>
    <row r="24" spans="1:36" s="2" customFormat="1" ht="61.5">
      <c r="A24" s="2">
        <v>1</v>
      </c>
      <c r="B24" s="17">
        <f>SUBTOTAL(103,$A$18:A24)</f>
        <v>6</v>
      </c>
      <c r="C24" s="3" t="s">
        <v>230</v>
      </c>
      <c r="D24" s="19" t="s">
        <v>204</v>
      </c>
      <c r="E24" s="20">
        <v>1</v>
      </c>
      <c r="F24" s="5">
        <f t="shared" si="4"/>
        <v>4973435.79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25">
        <v>0</v>
      </c>
      <c r="N24" s="5">
        <v>0</v>
      </c>
      <c r="O24" s="96">
        <v>977</v>
      </c>
      <c r="P24" s="96">
        <v>4905736.62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18">
        <f>ROUND(P24*1.38%,2)</f>
        <v>67699.17</v>
      </c>
      <c r="AF24" s="18">
        <v>0</v>
      </c>
      <c r="AG24" s="18">
        <v>0</v>
      </c>
      <c r="AH24" s="6" t="s">
        <v>49</v>
      </c>
      <c r="AI24" s="6">
        <v>2020</v>
      </c>
      <c r="AJ24" s="6">
        <v>2020</v>
      </c>
    </row>
    <row r="25" spans="1:36" s="2" customFormat="1" ht="61.5">
      <c r="A25" s="2">
        <v>1</v>
      </c>
      <c r="B25" s="17">
        <f>SUBTOTAL(103,$A$18:A25)</f>
        <v>7</v>
      </c>
      <c r="C25" s="3" t="s">
        <v>234</v>
      </c>
      <c r="D25" s="19" t="s">
        <v>202</v>
      </c>
      <c r="E25" s="20">
        <v>1.0053000000000001</v>
      </c>
      <c r="F25" s="5">
        <f t="shared" si="4"/>
        <v>50283.37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2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18">
        <f>ROUND(P25*1.5%,2)</f>
        <v>0</v>
      </c>
      <c r="AF25" s="50">
        <v>50283.37</v>
      </c>
      <c r="AG25" s="18">
        <v>0</v>
      </c>
      <c r="AH25" s="6">
        <v>2020</v>
      </c>
      <c r="AI25" s="6" t="s">
        <v>49</v>
      </c>
      <c r="AJ25" s="6" t="s">
        <v>49</v>
      </c>
    </row>
    <row r="26" spans="1:36" s="2" customFormat="1" ht="61.5">
      <c r="A26" s="2">
        <v>1</v>
      </c>
      <c r="B26" s="17">
        <f>SUBTOTAL(103,$A$18:A26)</f>
        <v>8</v>
      </c>
      <c r="C26" s="3" t="s">
        <v>253</v>
      </c>
      <c r="D26" s="19" t="s">
        <v>202</v>
      </c>
      <c r="E26" s="20">
        <v>1.0036</v>
      </c>
      <c r="F26" s="5">
        <f t="shared" ref="F26" si="5">G26+H26+I26+J26+K26+L26+N26+P26+R26+T26+V26+W26+X26+Y26+Z26+AA26+AB26+AC26+AD26+AE26+AF26+AG26</f>
        <v>43517.47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2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18">
        <f>ROUND(P26*1.5%,2)</f>
        <v>0</v>
      </c>
      <c r="AF26" s="50">
        <v>43517.47</v>
      </c>
      <c r="AG26" s="18">
        <v>0</v>
      </c>
      <c r="AH26" s="6">
        <v>2020</v>
      </c>
      <c r="AI26" s="6" t="s">
        <v>49</v>
      </c>
      <c r="AJ26" s="6" t="s">
        <v>49</v>
      </c>
    </row>
    <row r="27" spans="1:36" s="2" customFormat="1" ht="61.5">
      <c r="A27" s="2">
        <v>1</v>
      </c>
      <c r="B27" s="17">
        <f>SUBTOTAL(103,$A$18:A27)</f>
        <v>9</v>
      </c>
      <c r="C27" s="3" t="s">
        <v>400</v>
      </c>
      <c r="D27" s="19" t="s">
        <v>203</v>
      </c>
      <c r="E27" s="20">
        <v>1</v>
      </c>
      <c r="F27" s="5">
        <f t="shared" si="4"/>
        <v>1167250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25">
        <v>0</v>
      </c>
      <c r="N27" s="5">
        <v>0</v>
      </c>
      <c r="O27" s="5">
        <v>300.39999999999998</v>
      </c>
      <c r="P27" s="5">
        <v>1150000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18">
        <f>ROUND(P27*1.5%,2)</f>
        <v>17250</v>
      </c>
      <c r="AF27" s="36">
        <v>0</v>
      </c>
      <c r="AG27" s="18">
        <v>0</v>
      </c>
      <c r="AH27" s="6" t="s">
        <v>49</v>
      </c>
      <c r="AI27" s="6">
        <v>2020</v>
      </c>
      <c r="AJ27" s="6">
        <v>2020</v>
      </c>
    </row>
    <row r="28" spans="1:36" s="2" customFormat="1" ht="61.5">
      <c r="B28" s="21" t="s">
        <v>98</v>
      </c>
      <c r="C28" s="3"/>
      <c r="D28" s="19" t="s">
        <v>131</v>
      </c>
      <c r="E28" s="20">
        <f>AVERAGE(E29)</f>
        <v>1.0267999999999999</v>
      </c>
      <c r="F28" s="5">
        <f>F29</f>
        <v>2196540.5</v>
      </c>
      <c r="G28" s="5">
        <f t="shared" ref="G28:AG28" si="6">G29</f>
        <v>0</v>
      </c>
      <c r="H28" s="5">
        <f t="shared" si="6"/>
        <v>0</v>
      </c>
      <c r="I28" s="5">
        <f t="shared" si="6"/>
        <v>0</v>
      </c>
      <c r="J28" s="5">
        <f t="shared" si="6"/>
        <v>0</v>
      </c>
      <c r="K28" s="5">
        <f t="shared" si="6"/>
        <v>0</v>
      </c>
      <c r="L28" s="5">
        <f t="shared" si="6"/>
        <v>0</v>
      </c>
      <c r="M28" s="25">
        <f t="shared" si="6"/>
        <v>0</v>
      </c>
      <c r="N28" s="5">
        <f t="shared" si="6"/>
        <v>0</v>
      </c>
      <c r="O28" s="5">
        <f t="shared" si="6"/>
        <v>386.8</v>
      </c>
      <c r="P28" s="5">
        <f t="shared" si="6"/>
        <v>2085233.76</v>
      </c>
      <c r="Q28" s="5">
        <f t="shared" si="6"/>
        <v>0</v>
      </c>
      <c r="R28" s="5">
        <f t="shared" si="6"/>
        <v>0</v>
      </c>
      <c r="S28" s="5">
        <f t="shared" si="6"/>
        <v>0</v>
      </c>
      <c r="T28" s="5">
        <f t="shared" si="6"/>
        <v>0</v>
      </c>
      <c r="U28" s="5">
        <f t="shared" si="6"/>
        <v>0</v>
      </c>
      <c r="V28" s="5">
        <f t="shared" si="6"/>
        <v>0</v>
      </c>
      <c r="W28" s="5">
        <f t="shared" si="6"/>
        <v>0</v>
      </c>
      <c r="X28" s="5">
        <f t="shared" si="6"/>
        <v>0</v>
      </c>
      <c r="Y28" s="5">
        <f t="shared" si="6"/>
        <v>0</v>
      </c>
      <c r="Z28" s="5">
        <f t="shared" si="6"/>
        <v>0</v>
      </c>
      <c r="AA28" s="5">
        <f t="shared" si="6"/>
        <v>0</v>
      </c>
      <c r="AB28" s="5">
        <f t="shared" si="6"/>
        <v>0</v>
      </c>
      <c r="AC28" s="5">
        <f t="shared" si="6"/>
        <v>0</v>
      </c>
      <c r="AD28" s="5">
        <f t="shared" si="6"/>
        <v>0</v>
      </c>
      <c r="AE28" s="18">
        <f t="shared" si="6"/>
        <v>31278.51</v>
      </c>
      <c r="AF28" s="18">
        <f t="shared" si="6"/>
        <v>80028.23</v>
      </c>
      <c r="AG28" s="5">
        <f t="shared" si="6"/>
        <v>0</v>
      </c>
      <c r="AH28" s="6" t="s">
        <v>131</v>
      </c>
      <c r="AI28" s="6" t="s">
        <v>131</v>
      </c>
      <c r="AJ28" s="6" t="s">
        <v>131</v>
      </c>
    </row>
    <row r="29" spans="1:36" s="2" customFormat="1" ht="61.5">
      <c r="A29" s="2">
        <v>1</v>
      </c>
      <c r="B29" s="17">
        <f>SUBTOTAL(103,$A$18:A29)</f>
        <v>10</v>
      </c>
      <c r="C29" s="3" t="s">
        <v>83</v>
      </c>
      <c r="D29" s="19" t="s">
        <v>204</v>
      </c>
      <c r="E29" s="20">
        <v>1.0267999999999999</v>
      </c>
      <c r="F29" s="5">
        <f t="shared" si="4"/>
        <v>2196540.5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25">
        <v>0</v>
      </c>
      <c r="N29" s="5">
        <v>0</v>
      </c>
      <c r="O29" s="5">
        <v>386.8</v>
      </c>
      <c r="P29" s="5">
        <v>2085233.76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18">
        <f>ROUND(P29*1.5%,2)</f>
        <v>31278.51</v>
      </c>
      <c r="AF29" s="50">
        <v>80028.23</v>
      </c>
      <c r="AG29" s="5">
        <v>0</v>
      </c>
      <c r="AH29" s="6">
        <v>2020</v>
      </c>
      <c r="AI29" s="6">
        <v>2020</v>
      </c>
      <c r="AJ29" s="6">
        <v>2020</v>
      </c>
    </row>
    <row r="30" spans="1:36" s="2" customFormat="1" ht="61.5">
      <c r="B30" s="21" t="s">
        <v>100</v>
      </c>
      <c r="C30" s="3"/>
      <c r="D30" s="19" t="s">
        <v>131</v>
      </c>
      <c r="E30" s="20">
        <f>AVERAGE(E31)</f>
        <v>1</v>
      </c>
      <c r="F30" s="5">
        <f>F31</f>
        <v>5153989.53</v>
      </c>
      <c r="G30" s="5">
        <f t="shared" ref="G30:AG30" si="7">G31</f>
        <v>0</v>
      </c>
      <c r="H30" s="5">
        <f t="shared" si="7"/>
        <v>0</v>
      </c>
      <c r="I30" s="5">
        <f t="shared" si="7"/>
        <v>0</v>
      </c>
      <c r="J30" s="5">
        <f t="shared" si="7"/>
        <v>0</v>
      </c>
      <c r="K30" s="5">
        <f t="shared" si="7"/>
        <v>0</v>
      </c>
      <c r="L30" s="5">
        <f t="shared" si="7"/>
        <v>0</v>
      </c>
      <c r="M30" s="25">
        <f t="shared" si="7"/>
        <v>0</v>
      </c>
      <c r="N30" s="5">
        <f t="shared" si="7"/>
        <v>0</v>
      </c>
      <c r="O30" s="5">
        <f t="shared" si="7"/>
        <v>1080.5999999999999</v>
      </c>
      <c r="P30" s="5">
        <f t="shared" si="7"/>
        <v>5102328.45</v>
      </c>
      <c r="Q30" s="5">
        <f t="shared" si="7"/>
        <v>0</v>
      </c>
      <c r="R30" s="5">
        <f t="shared" si="7"/>
        <v>0</v>
      </c>
      <c r="S30" s="5">
        <f t="shared" si="7"/>
        <v>0</v>
      </c>
      <c r="T30" s="5">
        <f t="shared" si="7"/>
        <v>0</v>
      </c>
      <c r="U30" s="5">
        <f t="shared" si="7"/>
        <v>0</v>
      </c>
      <c r="V30" s="5">
        <f t="shared" si="7"/>
        <v>0</v>
      </c>
      <c r="W30" s="5">
        <f t="shared" si="7"/>
        <v>0</v>
      </c>
      <c r="X30" s="5">
        <f t="shared" si="7"/>
        <v>0</v>
      </c>
      <c r="Y30" s="5">
        <f t="shared" si="7"/>
        <v>0</v>
      </c>
      <c r="Z30" s="5">
        <f t="shared" si="7"/>
        <v>0</v>
      </c>
      <c r="AA30" s="5">
        <f t="shared" si="7"/>
        <v>0</v>
      </c>
      <c r="AB30" s="5">
        <f t="shared" si="7"/>
        <v>0</v>
      </c>
      <c r="AC30" s="5">
        <f t="shared" si="7"/>
        <v>0</v>
      </c>
      <c r="AD30" s="5">
        <f t="shared" si="7"/>
        <v>0</v>
      </c>
      <c r="AE30" s="18">
        <f t="shared" si="7"/>
        <v>51661.08</v>
      </c>
      <c r="AF30" s="18">
        <f t="shared" si="7"/>
        <v>0</v>
      </c>
      <c r="AG30" s="5">
        <f t="shared" si="7"/>
        <v>0</v>
      </c>
      <c r="AH30" s="6" t="s">
        <v>131</v>
      </c>
      <c r="AI30" s="6" t="s">
        <v>131</v>
      </c>
      <c r="AJ30" s="6" t="s">
        <v>131</v>
      </c>
    </row>
    <row r="31" spans="1:36" s="2" customFormat="1" ht="61.5">
      <c r="A31" s="2">
        <v>1</v>
      </c>
      <c r="B31" s="17">
        <f>SUBTOTAL(103,$A$18:A31)</f>
        <v>11</v>
      </c>
      <c r="C31" s="3" t="s">
        <v>225</v>
      </c>
      <c r="D31" s="19" t="s">
        <v>205</v>
      </c>
      <c r="E31" s="20">
        <v>1</v>
      </c>
      <c r="F31" s="5">
        <f t="shared" si="4"/>
        <v>5153989.53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25">
        <v>0</v>
      </c>
      <c r="N31" s="5">
        <v>0</v>
      </c>
      <c r="O31" s="7">
        <v>1080.5999999999999</v>
      </c>
      <c r="P31" s="7">
        <v>5102328.45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7">
        <v>51661.08</v>
      </c>
      <c r="AF31" s="18">
        <v>0</v>
      </c>
      <c r="AG31" s="5">
        <v>0</v>
      </c>
      <c r="AH31" s="6" t="s">
        <v>49</v>
      </c>
      <c r="AI31" s="6">
        <v>2020</v>
      </c>
      <c r="AJ31" s="6">
        <v>2020</v>
      </c>
    </row>
    <row r="32" spans="1:36" s="2" customFormat="1" ht="61.5">
      <c r="B32" s="21" t="s">
        <v>101</v>
      </c>
      <c r="C32" s="3"/>
      <c r="D32" s="19" t="s">
        <v>131</v>
      </c>
      <c r="E32" s="20">
        <f>AVERAGE(E33)</f>
        <v>1.0308999999999999</v>
      </c>
      <c r="F32" s="5">
        <f>F33</f>
        <v>48440.03</v>
      </c>
      <c r="G32" s="5">
        <f t="shared" ref="G32:AG32" si="8">G33</f>
        <v>0</v>
      </c>
      <c r="H32" s="5">
        <f t="shared" si="8"/>
        <v>0</v>
      </c>
      <c r="I32" s="5">
        <f t="shared" si="8"/>
        <v>0</v>
      </c>
      <c r="J32" s="5">
        <f t="shared" si="8"/>
        <v>0</v>
      </c>
      <c r="K32" s="5">
        <f t="shared" si="8"/>
        <v>0</v>
      </c>
      <c r="L32" s="5">
        <f t="shared" si="8"/>
        <v>0</v>
      </c>
      <c r="M32" s="25">
        <f t="shared" si="8"/>
        <v>0</v>
      </c>
      <c r="N32" s="5">
        <f t="shared" si="8"/>
        <v>0</v>
      </c>
      <c r="O32" s="5">
        <f t="shared" si="8"/>
        <v>0</v>
      </c>
      <c r="P32" s="5">
        <f t="shared" si="8"/>
        <v>0</v>
      </c>
      <c r="Q32" s="5">
        <f t="shared" si="8"/>
        <v>0</v>
      </c>
      <c r="R32" s="5">
        <f t="shared" si="8"/>
        <v>0</v>
      </c>
      <c r="S32" s="5">
        <f t="shared" si="8"/>
        <v>0</v>
      </c>
      <c r="T32" s="5">
        <f t="shared" si="8"/>
        <v>0</v>
      </c>
      <c r="U32" s="5">
        <f t="shared" si="8"/>
        <v>0</v>
      </c>
      <c r="V32" s="5">
        <f t="shared" si="8"/>
        <v>0</v>
      </c>
      <c r="W32" s="5">
        <f t="shared" si="8"/>
        <v>0</v>
      </c>
      <c r="X32" s="5">
        <f t="shared" si="8"/>
        <v>0</v>
      </c>
      <c r="Y32" s="5">
        <f t="shared" si="8"/>
        <v>0</v>
      </c>
      <c r="Z32" s="5">
        <f t="shared" si="8"/>
        <v>0</v>
      </c>
      <c r="AA32" s="5">
        <f t="shared" si="8"/>
        <v>0</v>
      </c>
      <c r="AB32" s="5">
        <f t="shared" si="8"/>
        <v>0</v>
      </c>
      <c r="AC32" s="5">
        <f t="shared" si="8"/>
        <v>0</v>
      </c>
      <c r="AD32" s="5">
        <f t="shared" si="8"/>
        <v>0</v>
      </c>
      <c r="AE32" s="18">
        <f t="shared" si="8"/>
        <v>0</v>
      </c>
      <c r="AF32" s="18">
        <f t="shared" si="8"/>
        <v>48440.03</v>
      </c>
      <c r="AG32" s="5">
        <f t="shared" si="8"/>
        <v>0</v>
      </c>
      <c r="AH32" s="6" t="s">
        <v>131</v>
      </c>
      <c r="AI32" s="6" t="s">
        <v>131</v>
      </c>
      <c r="AJ32" s="6" t="s">
        <v>131</v>
      </c>
    </row>
    <row r="33" spans="1:36" s="2" customFormat="1" ht="61.5">
      <c r="A33" s="2">
        <v>1</v>
      </c>
      <c r="B33" s="17">
        <f>SUBTOTAL(103,$A$18:A33)</f>
        <v>12</v>
      </c>
      <c r="C33" s="3" t="s">
        <v>186</v>
      </c>
      <c r="D33" s="19" t="s">
        <v>201</v>
      </c>
      <c r="E33" s="20">
        <v>1.0308999999999999</v>
      </c>
      <c r="F33" s="5">
        <f t="shared" si="4"/>
        <v>48440.03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2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18">
        <f>ROUND(P33*1.5%,2)</f>
        <v>0</v>
      </c>
      <c r="AF33" s="50">
        <v>48440.03</v>
      </c>
      <c r="AG33" s="5">
        <v>0</v>
      </c>
      <c r="AH33" s="6">
        <v>2020</v>
      </c>
      <c r="AI33" s="6" t="s">
        <v>49</v>
      </c>
      <c r="AJ33" s="6" t="s">
        <v>49</v>
      </c>
    </row>
    <row r="34" spans="1:36" s="2" customFormat="1" ht="61.5">
      <c r="B34" s="21" t="s">
        <v>210</v>
      </c>
      <c r="C34" s="3"/>
      <c r="D34" s="19" t="s">
        <v>131</v>
      </c>
      <c r="E34" s="20">
        <f>AVERAGE(E35:E36)</f>
        <v>1.0206</v>
      </c>
      <c r="F34" s="5">
        <f t="shared" ref="F34:AG34" si="9">SUM(F35:F36)</f>
        <v>31767</v>
      </c>
      <c r="G34" s="5">
        <f t="shared" si="9"/>
        <v>0</v>
      </c>
      <c r="H34" s="5">
        <f t="shared" si="9"/>
        <v>0</v>
      </c>
      <c r="I34" s="5">
        <f t="shared" si="9"/>
        <v>0</v>
      </c>
      <c r="J34" s="5">
        <f t="shared" si="9"/>
        <v>0</v>
      </c>
      <c r="K34" s="5">
        <f t="shared" si="9"/>
        <v>0</v>
      </c>
      <c r="L34" s="5">
        <f t="shared" si="9"/>
        <v>0</v>
      </c>
      <c r="M34" s="25">
        <f t="shared" si="9"/>
        <v>0</v>
      </c>
      <c r="N34" s="5">
        <f t="shared" si="9"/>
        <v>0</v>
      </c>
      <c r="O34" s="5">
        <f t="shared" si="9"/>
        <v>0</v>
      </c>
      <c r="P34" s="5">
        <f t="shared" si="9"/>
        <v>0</v>
      </c>
      <c r="Q34" s="5">
        <f t="shared" si="9"/>
        <v>0</v>
      </c>
      <c r="R34" s="5">
        <f t="shared" si="9"/>
        <v>0</v>
      </c>
      <c r="S34" s="5">
        <f t="shared" si="9"/>
        <v>0</v>
      </c>
      <c r="T34" s="5">
        <f t="shared" si="9"/>
        <v>0</v>
      </c>
      <c r="U34" s="5">
        <f t="shared" si="9"/>
        <v>0</v>
      </c>
      <c r="V34" s="5">
        <f t="shared" si="9"/>
        <v>0</v>
      </c>
      <c r="W34" s="5">
        <f t="shared" si="9"/>
        <v>0</v>
      </c>
      <c r="X34" s="5">
        <f t="shared" si="9"/>
        <v>0</v>
      </c>
      <c r="Y34" s="5">
        <f t="shared" si="9"/>
        <v>0</v>
      </c>
      <c r="Z34" s="5">
        <f t="shared" si="9"/>
        <v>0</v>
      </c>
      <c r="AA34" s="5">
        <f t="shared" si="9"/>
        <v>0</v>
      </c>
      <c r="AB34" s="5">
        <f t="shared" si="9"/>
        <v>0</v>
      </c>
      <c r="AC34" s="5">
        <f t="shared" si="9"/>
        <v>0</v>
      </c>
      <c r="AD34" s="5">
        <f t="shared" si="9"/>
        <v>0</v>
      </c>
      <c r="AE34" s="18">
        <f t="shared" si="9"/>
        <v>0</v>
      </c>
      <c r="AF34" s="18">
        <f t="shared" si="9"/>
        <v>31767</v>
      </c>
      <c r="AG34" s="5">
        <f t="shared" si="9"/>
        <v>0</v>
      </c>
      <c r="AH34" s="6" t="s">
        <v>131</v>
      </c>
      <c r="AI34" s="6" t="s">
        <v>131</v>
      </c>
      <c r="AJ34" s="6" t="s">
        <v>131</v>
      </c>
    </row>
    <row r="35" spans="1:36" s="2" customFormat="1" ht="61.5">
      <c r="A35" s="2">
        <v>1</v>
      </c>
      <c r="B35" s="17">
        <f>SUBTOTAL(103,$A$18:A35)</f>
        <v>13</v>
      </c>
      <c r="C35" s="3" t="s">
        <v>187</v>
      </c>
      <c r="D35" s="19" t="s">
        <v>204</v>
      </c>
      <c r="E35" s="20">
        <v>1.0385</v>
      </c>
      <c r="F35" s="5">
        <f t="shared" si="4"/>
        <v>13099.1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2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18">
        <f>ROUND(P35*1.5%,2)</f>
        <v>0</v>
      </c>
      <c r="AF35" s="50">
        <v>13099.1</v>
      </c>
      <c r="AG35" s="5">
        <v>0</v>
      </c>
      <c r="AH35" s="6">
        <v>2020</v>
      </c>
      <c r="AI35" s="6" t="s">
        <v>49</v>
      </c>
      <c r="AJ35" s="6" t="s">
        <v>49</v>
      </c>
    </row>
    <row r="36" spans="1:36" s="2" customFormat="1" ht="61.5">
      <c r="A36" s="2">
        <v>1</v>
      </c>
      <c r="B36" s="17">
        <f>SUBTOTAL(103,$A$18:A36)</f>
        <v>14</v>
      </c>
      <c r="C36" s="3" t="s">
        <v>188</v>
      </c>
      <c r="D36" s="19" t="s">
        <v>204</v>
      </c>
      <c r="E36" s="20">
        <v>1.0026999999999999</v>
      </c>
      <c r="F36" s="5">
        <f t="shared" si="4"/>
        <v>18667.900000000001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2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18">
        <f>ROUND(T36*1.5%,2)</f>
        <v>0</v>
      </c>
      <c r="AF36" s="50">
        <v>18667.900000000001</v>
      </c>
      <c r="AG36" s="5">
        <v>0</v>
      </c>
      <c r="AH36" s="6">
        <v>2020</v>
      </c>
      <c r="AI36" s="6" t="s">
        <v>49</v>
      </c>
      <c r="AJ36" s="6" t="s">
        <v>49</v>
      </c>
    </row>
    <row r="37" spans="1:36" s="2" customFormat="1" ht="61.5">
      <c r="B37" s="21" t="s">
        <v>105</v>
      </c>
      <c r="C37" s="3"/>
      <c r="D37" s="19" t="s">
        <v>131</v>
      </c>
      <c r="E37" s="20">
        <f>AVERAGE(E38:E39)</f>
        <v>1</v>
      </c>
      <c r="F37" s="5">
        <f>SUM(F38:F39)</f>
        <v>3557815.66</v>
      </c>
      <c r="G37" s="5">
        <f t="shared" ref="G37:AG37" si="10">SUM(G38:G39)</f>
        <v>0</v>
      </c>
      <c r="H37" s="5">
        <f t="shared" si="10"/>
        <v>0</v>
      </c>
      <c r="I37" s="5">
        <f t="shared" si="10"/>
        <v>0</v>
      </c>
      <c r="J37" s="5">
        <f t="shared" si="10"/>
        <v>0</v>
      </c>
      <c r="K37" s="5">
        <f t="shared" si="10"/>
        <v>0</v>
      </c>
      <c r="L37" s="5">
        <f t="shared" si="10"/>
        <v>0</v>
      </c>
      <c r="M37" s="25">
        <f t="shared" si="10"/>
        <v>0</v>
      </c>
      <c r="N37" s="5">
        <f t="shared" si="10"/>
        <v>0</v>
      </c>
      <c r="O37" s="5">
        <f t="shared" si="10"/>
        <v>828.5</v>
      </c>
      <c r="P37" s="5">
        <f t="shared" si="10"/>
        <v>3438664.78</v>
      </c>
      <c r="Q37" s="5">
        <f t="shared" si="10"/>
        <v>0</v>
      </c>
      <c r="R37" s="5">
        <f t="shared" si="10"/>
        <v>0</v>
      </c>
      <c r="S37" s="5">
        <f t="shared" si="10"/>
        <v>0</v>
      </c>
      <c r="T37" s="5">
        <f t="shared" si="10"/>
        <v>0</v>
      </c>
      <c r="U37" s="5">
        <f t="shared" si="10"/>
        <v>0</v>
      </c>
      <c r="V37" s="5">
        <f t="shared" si="10"/>
        <v>0</v>
      </c>
      <c r="W37" s="5">
        <f t="shared" si="10"/>
        <v>0</v>
      </c>
      <c r="X37" s="5">
        <f t="shared" si="10"/>
        <v>0</v>
      </c>
      <c r="Y37" s="5">
        <f t="shared" si="10"/>
        <v>0</v>
      </c>
      <c r="Z37" s="5">
        <f t="shared" si="10"/>
        <v>0</v>
      </c>
      <c r="AA37" s="5">
        <f t="shared" si="10"/>
        <v>0</v>
      </c>
      <c r="AB37" s="5">
        <f t="shared" si="10"/>
        <v>0</v>
      </c>
      <c r="AC37" s="5">
        <f t="shared" si="10"/>
        <v>0</v>
      </c>
      <c r="AD37" s="5">
        <f t="shared" si="10"/>
        <v>0</v>
      </c>
      <c r="AE37" s="18">
        <f t="shared" si="10"/>
        <v>20632</v>
      </c>
      <c r="AF37" s="18">
        <f t="shared" si="10"/>
        <v>98518.88</v>
      </c>
      <c r="AG37" s="5">
        <f t="shared" si="10"/>
        <v>0</v>
      </c>
      <c r="AH37" s="6" t="s">
        <v>131</v>
      </c>
      <c r="AI37" s="6" t="s">
        <v>131</v>
      </c>
      <c r="AJ37" s="6" t="s">
        <v>131</v>
      </c>
    </row>
    <row r="38" spans="1:36" s="2" customFormat="1" ht="61.5">
      <c r="A38" s="2">
        <v>1</v>
      </c>
      <c r="B38" s="17">
        <f>SUBTOTAL(103,$A$18:A38)</f>
        <v>15</v>
      </c>
      <c r="C38" s="3" t="s">
        <v>208</v>
      </c>
      <c r="D38" s="19" t="s">
        <v>202</v>
      </c>
      <c r="E38" s="20">
        <v>1</v>
      </c>
      <c r="F38" s="5">
        <f t="shared" si="4"/>
        <v>2576429.98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25">
        <v>0</v>
      </c>
      <c r="N38" s="5">
        <v>0</v>
      </c>
      <c r="O38" s="7">
        <v>604.54</v>
      </c>
      <c r="P38" s="7">
        <v>2510284.38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18">
        <f>ROUND(P38*0.6%,2)</f>
        <v>15061.71</v>
      </c>
      <c r="AF38" s="36">
        <v>51083.89</v>
      </c>
      <c r="AG38" s="5">
        <v>0</v>
      </c>
      <c r="AH38" s="6">
        <v>2020</v>
      </c>
      <c r="AI38" s="6">
        <v>2020</v>
      </c>
      <c r="AJ38" s="6">
        <v>2020</v>
      </c>
    </row>
    <row r="39" spans="1:36" s="2" customFormat="1" ht="61.5">
      <c r="A39" s="2">
        <v>1</v>
      </c>
      <c r="B39" s="17">
        <f>SUBTOTAL(103,$A$18:A39)</f>
        <v>16</v>
      </c>
      <c r="C39" s="3" t="s">
        <v>189</v>
      </c>
      <c r="D39" s="19" t="s">
        <v>202</v>
      </c>
      <c r="E39" s="20">
        <v>1</v>
      </c>
      <c r="F39" s="5">
        <f t="shared" si="4"/>
        <v>981385.68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25">
        <v>0</v>
      </c>
      <c r="N39" s="5">
        <v>0</v>
      </c>
      <c r="O39" s="7">
        <v>223.96</v>
      </c>
      <c r="P39" s="7">
        <v>928380.4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7">
        <v>5570.29</v>
      </c>
      <c r="AF39" s="36">
        <v>47434.99</v>
      </c>
      <c r="AG39" s="5">
        <v>0</v>
      </c>
      <c r="AH39" s="6">
        <v>2020</v>
      </c>
      <c r="AI39" s="6">
        <v>2020</v>
      </c>
      <c r="AJ39" s="6">
        <v>2020</v>
      </c>
    </row>
    <row r="40" spans="1:36" s="2" customFormat="1" ht="61.5">
      <c r="B40" s="21" t="s">
        <v>91</v>
      </c>
      <c r="C40" s="3"/>
      <c r="D40" s="19" t="s">
        <v>131</v>
      </c>
      <c r="E40" s="20">
        <f>AVERAGE(E41:E45)</f>
        <v>1.0075000000000001</v>
      </c>
      <c r="F40" s="5">
        <f>SUM(F41:F43)</f>
        <v>223917.22</v>
      </c>
      <c r="G40" s="5">
        <f t="shared" ref="G40:AG40" si="11">SUM(G41:G43)</f>
        <v>0</v>
      </c>
      <c r="H40" s="5">
        <f t="shared" si="11"/>
        <v>0</v>
      </c>
      <c r="I40" s="5">
        <f t="shared" si="11"/>
        <v>0</v>
      </c>
      <c r="J40" s="5">
        <f t="shared" si="11"/>
        <v>0</v>
      </c>
      <c r="K40" s="5">
        <f t="shared" si="11"/>
        <v>0</v>
      </c>
      <c r="L40" s="5">
        <f t="shared" si="11"/>
        <v>0</v>
      </c>
      <c r="M40" s="25">
        <f t="shared" si="11"/>
        <v>0</v>
      </c>
      <c r="N40" s="5">
        <f t="shared" si="11"/>
        <v>0</v>
      </c>
      <c r="O40" s="5">
        <f t="shared" si="11"/>
        <v>0</v>
      </c>
      <c r="P40" s="5">
        <f t="shared" si="11"/>
        <v>0</v>
      </c>
      <c r="Q40" s="5">
        <f t="shared" si="11"/>
        <v>0</v>
      </c>
      <c r="R40" s="5">
        <f t="shared" si="11"/>
        <v>0</v>
      </c>
      <c r="S40" s="5">
        <f t="shared" si="11"/>
        <v>0</v>
      </c>
      <c r="T40" s="5">
        <f t="shared" si="11"/>
        <v>0</v>
      </c>
      <c r="U40" s="5">
        <f t="shared" si="11"/>
        <v>0</v>
      </c>
      <c r="V40" s="5">
        <f t="shared" si="11"/>
        <v>0</v>
      </c>
      <c r="W40" s="5">
        <f t="shared" si="11"/>
        <v>0</v>
      </c>
      <c r="X40" s="5">
        <f t="shared" si="11"/>
        <v>0</v>
      </c>
      <c r="Y40" s="5">
        <f t="shared" si="11"/>
        <v>0</v>
      </c>
      <c r="Z40" s="5">
        <f t="shared" si="11"/>
        <v>0</v>
      </c>
      <c r="AA40" s="5">
        <f t="shared" si="11"/>
        <v>0</v>
      </c>
      <c r="AB40" s="5">
        <f t="shared" si="11"/>
        <v>0</v>
      </c>
      <c r="AC40" s="5">
        <f t="shared" si="11"/>
        <v>0</v>
      </c>
      <c r="AD40" s="5">
        <f t="shared" si="11"/>
        <v>0</v>
      </c>
      <c r="AE40" s="18">
        <f t="shared" si="11"/>
        <v>0</v>
      </c>
      <c r="AF40" s="18">
        <f t="shared" si="11"/>
        <v>223917.22</v>
      </c>
      <c r="AG40" s="5">
        <f t="shared" si="11"/>
        <v>0</v>
      </c>
      <c r="AH40" s="6" t="s">
        <v>131</v>
      </c>
      <c r="AI40" s="6" t="s">
        <v>131</v>
      </c>
      <c r="AJ40" s="6" t="s">
        <v>131</v>
      </c>
    </row>
    <row r="41" spans="1:36" s="2" customFormat="1" ht="61.5">
      <c r="A41" s="2">
        <v>1</v>
      </c>
      <c r="B41" s="17">
        <f>SUBTOTAL(103,$A$18:A41)</f>
        <v>17</v>
      </c>
      <c r="C41" s="3" t="s">
        <v>190</v>
      </c>
      <c r="D41" s="19" t="s">
        <v>203</v>
      </c>
      <c r="E41" s="20">
        <v>1.0043</v>
      </c>
      <c r="F41" s="5">
        <f t="shared" si="4"/>
        <v>47271.85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2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18">
        <f>ROUND(P41*1.5%,2)</f>
        <v>0</v>
      </c>
      <c r="AF41" s="7">
        <v>47271.85</v>
      </c>
      <c r="AG41" s="5">
        <v>0</v>
      </c>
      <c r="AH41" s="6">
        <v>2020</v>
      </c>
      <c r="AI41" s="6" t="s">
        <v>49</v>
      </c>
      <c r="AJ41" s="6" t="s">
        <v>49</v>
      </c>
    </row>
    <row r="42" spans="1:36" s="2" customFormat="1" ht="61.5">
      <c r="A42" s="2">
        <v>1</v>
      </c>
      <c r="B42" s="17">
        <f>SUBTOTAL(103,$A$18:A42)</f>
        <v>18</v>
      </c>
      <c r="C42" s="3" t="s">
        <v>93</v>
      </c>
      <c r="D42" s="19" t="s">
        <v>203</v>
      </c>
      <c r="E42" s="20">
        <v>1.0185999999999999</v>
      </c>
      <c r="F42" s="5">
        <f t="shared" si="4"/>
        <v>99352.46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2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18">
        <f>ROUND(P42*1.5%,2)</f>
        <v>0</v>
      </c>
      <c r="AF42" s="7">
        <v>99352.46</v>
      </c>
      <c r="AG42" s="5">
        <v>0</v>
      </c>
      <c r="AH42" s="6">
        <v>2020</v>
      </c>
      <c r="AI42" s="6" t="s">
        <v>49</v>
      </c>
      <c r="AJ42" s="6" t="s">
        <v>49</v>
      </c>
    </row>
    <row r="43" spans="1:36" s="2" customFormat="1" ht="61.5">
      <c r="A43" s="2">
        <v>1</v>
      </c>
      <c r="B43" s="17">
        <f>SUBTOTAL(103,$A$18:A43)</f>
        <v>19</v>
      </c>
      <c r="C43" s="3" t="s">
        <v>92</v>
      </c>
      <c r="D43" s="19" t="s">
        <v>203</v>
      </c>
      <c r="E43" s="20">
        <v>1.0064</v>
      </c>
      <c r="F43" s="5">
        <f t="shared" si="4"/>
        <v>77292.91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2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18">
        <f>ROUND(P43*1.5%,2)</f>
        <v>0</v>
      </c>
      <c r="AF43" s="7">
        <v>77292.91</v>
      </c>
      <c r="AG43" s="5">
        <v>0</v>
      </c>
      <c r="AH43" s="6">
        <v>2020</v>
      </c>
      <c r="AI43" s="6" t="s">
        <v>49</v>
      </c>
      <c r="AJ43" s="6" t="s">
        <v>49</v>
      </c>
    </row>
    <row r="44" spans="1:36" s="2" customFormat="1" ht="61.5">
      <c r="B44" s="21" t="s">
        <v>108</v>
      </c>
      <c r="C44" s="3"/>
      <c r="D44" s="19" t="s">
        <v>131</v>
      </c>
      <c r="E44" s="20">
        <f>AVERAGE(E45)</f>
        <v>1.0041</v>
      </c>
      <c r="F44" s="5">
        <f>F45</f>
        <v>3265341.36</v>
      </c>
      <c r="G44" s="5">
        <f t="shared" ref="G44:AG44" si="12">G45</f>
        <v>0</v>
      </c>
      <c r="H44" s="5">
        <f t="shared" si="12"/>
        <v>0</v>
      </c>
      <c r="I44" s="5">
        <f t="shared" si="12"/>
        <v>0</v>
      </c>
      <c r="J44" s="5">
        <f t="shared" si="12"/>
        <v>0</v>
      </c>
      <c r="K44" s="5">
        <f t="shared" si="12"/>
        <v>0</v>
      </c>
      <c r="L44" s="5">
        <f t="shared" si="12"/>
        <v>0</v>
      </c>
      <c r="M44" s="25">
        <f t="shared" si="12"/>
        <v>0</v>
      </c>
      <c r="N44" s="5">
        <f t="shared" si="12"/>
        <v>0</v>
      </c>
      <c r="O44" s="5">
        <f t="shared" si="12"/>
        <v>695</v>
      </c>
      <c r="P44" s="5">
        <f t="shared" si="12"/>
        <v>3166427.79</v>
      </c>
      <c r="Q44" s="5">
        <f t="shared" si="12"/>
        <v>0</v>
      </c>
      <c r="R44" s="5">
        <f t="shared" si="12"/>
        <v>0</v>
      </c>
      <c r="S44" s="5">
        <f t="shared" si="12"/>
        <v>0</v>
      </c>
      <c r="T44" s="5">
        <f t="shared" si="12"/>
        <v>0</v>
      </c>
      <c r="U44" s="5">
        <f t="shared" si="12"/>
        <v>0</v>
      </c>
      <c r="V44" s="5">
        <f t="shared" si="12"/>
        <v>0</v>
      </c>
      <c r="W44" s="5">
        <f t="shared" si="12"/>
        <v>0</v>
      </c>
      <c r="X44" s="5">
        <f t="shared" si="12"/>
        <v>0</v>
      </c>
      <c r="Y44" s="5">
        <f t="shared" si="12"/>
        <v>0</v>
      </c>
      <c r="Z44" s="5">
        <f t="shared" si="12"/>
        <v>0</v>
      </c>
      <c r="AA44" s="5">
        <f t="shared" si="12"/>
        <v>0</v>
      </c>
      <c r="AB44" s="5">
        <f t="shared" si="12"/>
        <v>0</v>
      </c>
      <c r="AC44" s="5">
        <f t="shared" si="12"/>
        <v>0</v>
      </c>
      <c r="AD44" s="5">
        <f t="shared" si="12"/>
        <v>0</v>
      </c>
      <c r="AE44" s="18">
        <f t="shared" si="12"/>
        <v>18998.57</v>
      </c>
      <c r="AF44" s="18">
        <f t="shared" si="12"/>
        <v>79915</v>
      </c>
      <c r="AG44" s="5">
        <f t="shared" si="12"/>
        <v>0</v>
      </c>
      <c r="AH44" s="6" t="s">
        <v>131</v>
      </c>
      <c r="AI44" s="6" t="s">
        <v>131</v>
      </c>
      <c r="AJ44" s="6" t="s">
        <v>131</v>
      </c>
    </row>
    <row r="45" spans="1:36" s="2" customFormat="1" ht="61.5">
      <c r="A45" s="2">
        <v>1</v>
      </c>
      <c r="B45" s="17">
        <f>SUBTOTAL(103,$A$18:A45)</f>
        <v>20</v>
      </c>
      <c r="C45" s="3" t="s">
        <v>191</v>
      </c>
      <c r="D45" s="19" t="s">
        <v>202</v>
      </c>
      <c r="E45" s="20">
        <v>1.0041</v>
      </c>
      <c r="F45" s="5">
        <f t="shared" si="4"/>
        <v>3265341.36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25">
        <v>0</v>
      </c>
      <c r="N45" s="5">
        <v>0</v>
      </c>
      <c r="O45" s="7">
        <v>695</v>
      </c>
      <c r="P45" s="7">
        <v>3166427.79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18">
        <f>ROUND(P45*0.6%,2)</f>
        <v>18998.57</v>
      </c>
      <c r="AF45" s="7">
        <v>79915</v>
      </c>
      <c r="AG45" s="5">
        <v>0</v>
      </c>
      <c r="AH45" s="6">
        <v>2020</v>
      </c>
      <c r="AI45" s="6">
        <v>2020</v>
      </c>
      <c r="AJ45" s="6">
        <v>2020</v>
      </c>
    </row>
    <row r="46" spans="1:36" s="2" customFormat="1" ht="61.5">
      <c r="B46" s="21" t="s">
        <v>110</v>
      </c>
      <c r="C46" s="3"/>
      <c r="D46" s="19" t="s">
        <v>131</v>
      </c>
      <c r="E46" s="20">
        <f>AVERAGE(E47)</f>
        <v>1</v>
      </c>
      <c r="F46" s="5">
        <f>F47</f>
        <v>97672.62</v>
      </c>
      <c r="G46" s="5">
        <f t="shared" ref="G46:AG46" si="13">G47</f>
        <v>0</v>
      </c>
      <c r="H46" s="5">
        <f t="shared" si="13"/>
        <v>0</v>
      </c>
      <c r="I46" s="5">
        <f t="shared" si="13"/>
        <v>0</v>
      </c>
      <c r="J46" s="5">
        <f t="shared" si="13"/>
        <v>0</v>
      </c>
      <c r="K46" s="5">
        <f t="shared" si="13"/>
        <v>0</v>
      </c>
      <c r="L46" s="5">
        <f t="shared" si="13"/>
        <v>0</v>
      </c>
      <c r="M46" s="25">
        <f t="shared" si="13"/>
        <v>0</v>
      </c>
      <c r="N46" s="5">
        <f t="shared" si="13"/>
        <v>0</v>
      </c>
      <c r="O46" s="5">
        <f t="shared" si="13"/>
        <v>0</v>
      </c>
      <c r="P46" s="5">
        <f t="shared" si="13"/>
        <v>0</v>
      </c>
      <c r="Q46" s="5">
        <f t="shared" si="13"/>
        <v>0</v>
      </c>
      <c r="R46" s="5">
        <f t="shared" si="13"/>
        <v>0</v>
      </c>
      <c r="S46" s="5">
        <f t="shared" si="13"/>
        <v>0</v>
      </c>
      <c r="T46" s="5">
        <f t="shared" si="13"/>
        <v>0</v>
      </c>
      <c r="U46" s="5">
        <f t="shared" si="13"/>
        <v>0</v>
      </c>
      <c r="V46" s="5">
        <f t="shared" si="13"/>
        <v>0</v>
      </c>
      <c r="W46" s="5">
        <f t="shared" si="13"/>
        <v>0</v>
      </c>
      <c r="X46" s="5">
        <f t="shared" si="13"/>
        <v>0</v>
      </c>
      <c r="Y46" s="5">
        <f t="shared" si="13"/>
        <v>0</v>
      </c>
      <c r="Z46" s="5">
        <f t="shared" si="13"/>
        <v>0</v>
      </c>
      <c r="AA46" s="5">
        <f t="shared" si="13"/>
        <v>0</v>
      </c>
      <c r="AB46" s="5">
        <f t="shared" si="13"/>
        <v>0</v>
      </c>
      <c r="AC46" s="5">
        <f t="shared" si="13"/>
        <v>0</v>
      </c>
      <c r="AD46" s="5">
        <f t="shared" si="13"/>
        <v>0</v>
      </c>
      <c r="AE46" s="18">
        <f t="shared" si="13"/>
        <v>0</v>
      </c>
      <c r="AF46" s="18">
        <f t="shared" si="13"/>
        <v>97672.62</v>
      </c>
      <c r="AG46" s="5">
        <f t="shared" si="13"/>
        <v>0</v>
      </c>
      <c r="AH46" s="6" t="s">
        <v>131</v>
      </c>
      <c r="AI46" s="6" t="s">
        <v>131</v>
      </c>
      <c r="AJ46" s="6" t="s">
        <v>131</v>
      </c>
    </row>
    <row r="47" spans="1:36" s="2" customFormat="1" ht="61.5">
      <c r="A47" s="2">
        <v>1</v>
      </c>
      <c r="B47" s="17">
        <f>SUBTOTAL(103,$A$18:A47)</f>
        <v>21</v>
      </c>
      <c r="C47" s="3" t="s">
        <v>192</v>
      </c>
      <c r="D47" s="19" t="s">
        <v>204</v>
      </c>
      <c r="E47" s="20">
        <v>1</v>
      </c>
      <c r="F47" s="5">
        <f t="shared" si="4"/>
        <v>97672.62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2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18">
        <f>ROUND(P47*1.5%,2)</f>
        <v>0</v>
      </c>
      <c r="AF47" s="50">
        <v>97672.62</v>
      </c>
      <c r="AG47" s="5">
        <v>0</v>
      </c>
      <c r="AH47" s="6">
        <v>2020</v>
      </c>
      <c r="AI47" s="6" t="s">
        <v>49</v>
      </c>
      <c r="AJ47" s="6" t="s">
        <v>49</v>
      </c>
    </row>
    <row r="48" spans="1:36" s="2" customFormat="1" ht="61.5">
      <c r="B48" s="21" t="s">
        <v>211</v>
      </c>
      <c r="C48" s="3"/>
      <c r="D48" s="19" t="s">
        <v>131</v>
      </c>
      <c r="E48" s="20">
        <f>AVERAGE(E49:E51)</f>
        <v>1.0093333333333334</v>
      </c>
      <c r="F48" s="5">
        <f t="shared" ref="F48:AG48" si="14">SUM(F49:F51)</f>
        <v>7637123.5900000008</v>
      </c>
      <c r="G48" s="5">
        <f t="shared" si="14"/>
        <v>0</v>
      </c>
      <c r="H48" s="5">
        <f t="shared" si="14"/>
        <v>0</v>
      </c>
      <c r="I48" s="5">
        <f t="shared" si="14"/>
        <v>0</v>
      </c>
      <c r="J48" s="5">
        <f t="shared" si="14"/>
        <v>0</v>
      </c>
      <c r="K48" s="5">
        <f t="shared" si="14"/>
        <v>0</v>
      </c>
      <c r="L48" s="5">
        <f t="shared" si="14"/>
        <v>0</v>
      </c>
      <c r="M48" s="25">
        <f t="shared" si="14"/>
        <v>0</v>
      </c>
      <c r="N48" s="5">
        <f t="shared" si="14"/>
        <v>0</v>
      </c>
      <c r="O48" s="5">
        <f t="shared" si="14"/>
        <v>1438.7</v>
      </c>
      <c r="P48" s="5">
        <f t="shared" si="14"/>
        <v>7406508.8399999999</v>
      </c>
      <c r="Q48" s="5">
        <f t="shared" si="14"/>
        <v>0</v>
      </c>
      <c r="R48" s="5">
        <f t="shared" si="14"/>
        <v>0</v>
      </c>
      <c r="S48" s="5">
        <f t="shared" si="14"/>
        <v>0</v>
      </c>
      <c r="T48" s="5">
        <f t="shared" si="14"/>
        <v>0</v>
      </c>
      <c r="U48" s="5">
        <f t="shared" si="14"/>
        <v>0</v>
      </c>
      <c r="V48" s="5">
        <f t="shared" si="14"/>
        <v>0</v>
      </c>
      <c r="W48" s="5">
        <f t="shared" si="14"/>
        <v>0</v>
      </c>
      <c r="X48" s="5">
        <f t="shared" si="14"/>
        <v>0</v>
      </c>
      <c r="Y48" s="5">
        <f t="shared" si="14"/>
        <v>0</v>
      </c>
      <c r="Z48" s="5">
        <f t="shared" si="14"/>
        <v>0</v>
      </c>
      <c r="AA48" s="5">
        <f t="shared" si="14"/>
        <v>0</v>
      </c>
      <c r="AB48" s="5">
        <f t="shared" si="14"/>
        <v>0</v>
      </c>
      <c r="AC48" s="5">
        <f t="shared" si="14"/>
        <v>0</v>
      </c>
      <c r="AD48" s="5">
        <f t="shared" si="14"/>
        <v>0</v>
      </c>
      <c r="AE48" s="18">
        <f t="shared" si="14"/>
        <v>25643.34</v>
      </c>
      <c r="AF48" s="18">
        <f t="shared" si="14"/>
        <v>204971.41</v>
      </c>
      <c r="AG48" s="5">
        <f t="shared" si="14"/>
        <v>0</v>
      </c>
      <c r="AH48" s="6" t="s">
        <v>131</v>
      </c>
      <c r="AI48" s="6" t="s">
        <v>131</v>
      </c>
      <c r="AJ48" s="6" t="s">
        <v>131</v>
      </c>
    </row>
    <row r="49" spans="1:36" s="2" customFormat="1" ht="61.5">
      <c r="A49" s="2">
        <v>1</v>
      </c>
      <c r="B49" s="17">
        <f>SUBTOTAL(103,$A$18:A49)</f>
        <v>22</v>
      </c>
      <c r="C49" s="3" t="s">
        <v>193</v>
      </c>
      <c r="D49" s="19" t="s">
        <v>206</v>
      </c>
      <c r="E49" s="20">
        <v>1.0093000000000001</v>
      </c>
      <c r="F49" s="5">
        <f t="shared" si="4"/>
        <v>2406352.7599999998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25">
        <v>0</v>
      </c>
      <c r="N49" s="5">
        <v>0</v>
      </c>
      <c r="O49" s="7">
        <v>441.7</v>
      </c>
      <c r="P49" s="7">
        <v>2338270.38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18">
        <v>0</v>
      </c>
      <c r="AF49" s="7">
        <v>68082.38</v>
      </c>
      <c r="AG49" s="5">
        <v>0</v>
      </c>
      <c r="AH49" s="6">
        <v>2020</v>
      </c>
      <c r="AI49" s="6">
        <v>2020</v>
      </c>
      <c r="AJ49" s="6" t="s">
        <v>49</v>
      </c>
    </row>
    <row r="50" spans="1:36" s="2" customFormat="1" ht="61.5">
      <c r="A50" s="2">
        <v>1</v>
      </c>
      <c r="B50" s="17">
        <f>SUBTOTAL(103,$A$18:A50)</f>
        <v>23</v>
      </c>
      <c r="C50" s="3" t="s">
        <v>194</v>
      </c>
      <c r="D50" s="19" t="s">
        <v>202</v>
      </c>
      <c r="E50" s="20">
        <v>1.0031000000000001</v>
      </c>
      <c r="F50" s="5">
        <f t="shared" si="4"/>
        <v>2491755.89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25">
        <v>0</v>
      </c>
      <c r="N50" s="5">
        <v>0</v>
      </c>
      <c r="O50" s="7">
        <v>502</v>
      </c>
      <c r="P50" s="7">
        <v>2407983.3199999998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11377.72</v>
      </c>
      <c r="AF50" s="50">
        <v>72394.850000000006</v>
      </c>
      <c r="AG50" s="5">
        <v>0</v>
      </c>
      <c r="AH50" s="6">
        <v>2020</v>
      </c>
      <c r="AI50" s="6">
        <v>2020</v>
      </c>
      <c r="AJ50" s="6">
        <v>2020</v>
      </c>
    </row>
    <row r="51" spans="1:36" s="2" customFormat="1" ht="61.5">
      <c r="A51" s="2">
        <v>1</v>
      </c>
      <c r="B51" s="17">
        <f>SUBTOTAL(103,$A$18:A51)</f>
        <v>24</v>
      </c>
      <c r="C51" s="3" t="s">
        <v>195</v>
      </c>
      <c r="D51" s="19" t="s">
        <v>205</v>
      </c>
      <c r="E51" s="20">
        <v>1.0156000000000001</v>
      </c>
      <c r="F51" s="5">
        <f t="shared" si="4"/>
        <v>2739014.9400000004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25">
        <v>0</v>
      </c>
      <c r="N51" s="5">
        <v>0</v>
      </c>
      <c r="O51" s="7">
        <v>495</v>
      </c>
      <c r="P51" s="7">
        <v>2660255.14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f>7980.77+6284.85</f>
        <v>14265.62</v>
      </c>
      <c r="AF51" s="50">
        <v>64494.18</v>
      </c>
      <c r="AG51" s="5">
        <v>0</v>
      </c>
      <c r="AH51" s="6">
        <v>2020</v>
      </c>
      <c r="AI51" s="6">
        <v>2020</v>
      </c>
      <c r="AJ51" s="6">
        <v>2020</v>
      </c>
    </row>
    <row r="52" spans="1:36" s="2" customFormat="1" ht="61.5">
      <c r="B52" s="21" t="s">
        <v>212</v>
      </c>
      <c r="C52" s="3"/>
      <c r="D52" s="19" t="s">
        <v>131</v>
      </c>
      <c r="E52" s="20">
        <f>AVERAGE(E53)</f>
        <v>1</v>
      </c>
      <c r="F52" s="5">
        <f>F53</f>
        <v>2434994.4500000002</v>
      </c>
      <c r="G52" s="5">
        <f t="shared" ref="G52:AG52" si="15">G53</f>
        <v>0</v>
      </c>
      <c r="H52" s="5">
        <f t="shared" si="15"/>
        <v>0</v>
      </c>
      <c r="I52" s="5">
        <f t="shared" si="15"/>
        <v>0</v>
      </c>
      <c r="J52" s="5">
        <f t="shared" si="15"/>
        <v>0</v>
      </c>
      <c r="K52" s="5">
        <f t="shared" si="15"/>
        <v>0</v>
      </c>
      <c r="L52" s="5">
        <f t="shared" si="15"/>
        <v>0</v>
      </c>
      <c r="M52" s="25">
        <f t="shared" si="15"/>
        <v>0</v>
      </c>
      <c r="N52" s="5">
        <f t="shared" si="15"/>
        <v>0</v>
      </c>
      <c r="O52" s="5">
        <f t="shared" si="15"/>
        <v>780</v>
      </c>
      <c r="P52" s="5">
        <f t="shared" si="15"/>
        <v>2307296.7200000002</v>
      </c>
      <c r="Q52" s="5">
        <f t="shared" si="15"/>
        <v>0</v>
      </c>
      <c r="R52" s="5">
        <f t="shared" si="15"/>
        <v>0</v>
      </c>
      <c r="S52" s="5">
        <f t="shared" si="15"/>
        <v>0</v>
      </c>
      <c r="T52" s="5">
        <f t="shared" si="15"/>
        <v>0</v>
      </c>
      <c r="U52" s="5">
        <f t="shared" si="15"/>
        <v>0</v>
      </c>
      <c r="V52" s="5">
        <f t="shared" si="15"/>
        <v>0</v>
      </c>
      <c r="W52" s="5">
        <f t="shared" si="15"/>
        <v>0</v>
      </c>
      <c r="X52" s="5">
        <f t="shared" si="15"/>
        <v>0</v>
      </c>
      <c r="Y52" s="5">
        <f t="shared" si="15"/>
        <v>0</v>
      </c>
      <c r="Z52" s="5">
        <f t="shared" si="15"/>
        <v>0</v>
      </c>
      <c r="AA52" s="5">
        <f t="shared" si="15"/>
        <v>0</v>
      </c>
      <c r="AB52" s="5">
        <f t="shared" si="15"/>
        <v>0</v>
      </c>
      <c r="AC52" s="5">
        <f t="shared" si="15"/>
        <v>0</v>
      </c>
      <c r="AD52" s="5">
        <f t="shared" si="15"/>
        <v>0</v>
      </c>
      <c r="AE52" s="18">
        <f t="shared" si="15"/>
        <v>32359.84</v>
      </c>
      <c r="AF52" s="18">
        <f t="shared" si="15"/>
        <v>95337.89</v>
      </c>
      <c r="AG52" s="5">
        <f t="shared" si="15"/>
        <v>0</v>
      </c>
      <c r="AH52" s="6" t="s">
        <v>131</v>
      </c>
      <c r="AI52" s="6" t="s">
        <v>131</v>
      </c>
      <c r="AJ52" s="6" t="s">
        <v>131</v>
      </c>
    </row>
    <row r="53" spans="1:36" s="2" customFormat="1" ht="61.5">
      <c r="A53" s="2">
        <v>1</v>
      </c>
      <c r="B53" s="17">
        <f>SUBTOTAL(103,$A$18:A53)</f>
        <v>25</v>
      </c>
      <c r="C53" s="3" t="s">
        <v>200</v>
      </c>
      <c r="D53" s="19" t="s">
        <v>201</v>
      </c>
      <c r="E53" s="20">
        <v>1</v>
      </c>
      <c r="F53" s="5">
        <f t="shared" si="4"/>
        <v>2434994.4500000002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25">
        <v>0</v>
      </c>
      <c r="N53" s="5">
        <v>0</v>
      </c>
      <c r="O53" s="5">
        <v>780</v>
      </c>
      <c r="P53" s="5">
        <v>2307296.7200000002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7">
        <v>32359.84</v>
      </c>
      <c r="AF53" s="50">
        <v>95337.89</v>
      </c>
      <c r="AG53" s="5">
        <v>0</v>
      </c>
      <c r="AH53" s="6">
        <v>2020</v>
      </c>
      <c r="AI53" s="6">
        <v>2020</v>
      </c>
      <c r="AJ53" s="6">
        <v>2020</v>
      </c>
    </row>
    <row r="54" spans="1:36" s="2" customFormat="1" ht="61.5">
      <c r="B54" s="21" t="s">
        <v>115</v>
      </c>
      <c r="C54" s="3"/>
      <c r="D54" s="19" t="s">
        <v>131</v>
      </c>
      <c r="E54" s="20">
        <f>AVERAGE(E55)</f>
        <v>1.008</v>
      </c>
      <c r="F54" s="5">
        <f>F55</f>
        <v>89459.11</v>
      </c>
      <c r="G54" s="5">
        <f t="shared" ref="G54:AG54" si="16">G55</f>
        <v>0</v>
      </c>
      <c r="H54" s="5">
        <f t="shared" si="16"/>
        <v>0</v>
      </c>
      <c r="I54" s="5">
        <f t="shared" si="16"/>
        <v>0</v>
      </c>
      <c r="J54" s="5">
        <f t="shared" si="16"/>
        <v>0</v>
      </c>
      <c r="K54" s="5">
        <f t="shared" si="16"/>
        <v>0</v>
      </c>
      <c r="L54" s="5">
        <f t="shared" si="16"/>
        <v>0</v>
      </c>
      <c r="M54" s="25">
        <f t="shared" si="16"/>
        <v>0</v>
      </c>
      <c r="N54" s="5">
        <f t="shared" si="16"/>
        <v>0</v>
      </c>
      <c r="O54" s="5">
        <f t="shared" si="16"/>
        <v>0</v>
      </c>
      <c r="P54" s="5">
        <f t="shared" si="16"/>
        <v>0</v>
      </c>
      <c r="Q54" s="5">
        <f t="shared" si="16"/>
        <v>0</v>
      </c>
      <c r="R54" s="5">
        <f t="shared" si="16"/>
        <v>0</v>
      </c>
      <c r="S54" s="5">
        <f t="shared" si="16"/>
        <v>0</v>
      </c>
      <c r="T54" s="5">
        <f t="shared" si="16"/>
        <v>0</v>
      </c>
      <c r="U54" s="5">
        <f t="shared" si="16"/>
        <v>0</v>
      </c>
      <c r="V54" s="5">
        <f t="shared" si="16"/>
        <v>0</v>
      </c>
      <c r="W54" s="5">
        <f t="shared" si="16"/>
        <v>0</v>
      </c>
      <c r="X54" s="5">
        <f t="shared" si="16"/>
        <v>0</v>
      </c>
      <c r="Y54" s="5">
        <f t="shared" si="16"/>
        <v>0</v>
      </c>
      <c r="Z54" s="5">
        <f t="shared" si="16"/>
        <v>0</v>
      </c>
      <c r="AA54" s="5">
        <f t="shared" si="16"/>
        <v>0</v>
      </c>
      <c r="AB54" s="5">
        <f t="shared" si="16"/>
        <v>0</v>
      </c>
      <c r="AC54" s="5">
        <f t="shared" si="16"/>
        <v>0</v>
      </c>
      <c r="AD54" s="5">
        <f t="shared" si="16"/>
        <v>0</v>
      </c>
      <c r="AE54" s="18">
        <f t="shared" si="16"/>
        <v>0</v>
      </c>
      <c r="AF54" s="18">
        <f t="shared" si="16"/>
        <v>89459.11</v>
      </c>
      <c r="AG54" s="5">
        <f t="shared" si="16"/>
        <v>0</v>
      </c>
      <c r="AH54" s="6" t="s">
        <v>131</v>
      </c>
      <c r="AI54" s="6" t="s">
        <v>131</v>
      </c>
      <c r="AJ54" s="6" t="s">
        <v>131</v>
      </c>
    </row>
    <row r="55" spans="1:36" s="2" customFormat="1" ht="61.5">
      <c r="A55" s="2">
        <v>1</v>
      </c>
      <c r="B55" s="17">
        <f>SUBTOTAL(103,$A$18:A55)</f>
        <v>26</v>
      </c>
      <c r="C55" s="3" t="s">
        <v>196</v>
      </c>
      <c r="D55" s="19" t="s">
        <v>202</v>
      </c>
      <c r="E55" s="20">
        <v>1.008</v>
      </c>
      <c r="F55" s="5">
        <f t="shared" si="4"/>
        <v>89459.11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2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18">
        <f>ROUND(P55*1.5%,2)</f>
        <v>0</v>
      </c>
      <c r="AF55" s="36">
        <v>89459.11</v>
      </c>
      <c r="AG55" s="5">
        <v>0</v>
      </c>
      <c r="AH55" s="6">
        <v>2020</v>
      </c>
      <c r="AI55" s="6" t="s">
        <v>49</v>
      </c>
      <c r="AJ55" s="6" t="s">
        <v>49</v>
      </c>
    </row>
    <row r="56" spans="1:36" s="2" customFormat="1" ht="61.5">
      <c r="B56" s="21" t="s">
        <v>119</v>
      </c>
      <c r="C56" s="3"/>
      <c r="D56" s="19" t="s">
        <v>131</v>
      </c>
      <c r="E56" s="20">
        <f>AVERAGE(E57)</f>
        <v>1.0001</v>
      </c>
      <c r="F56" s="5">
        <f>F57</f>
        <v>3168456.39</v>
      </c>
      <c r="G56" s="5">
        <f t="shared" ref="G56:AG56" si="17">G57</f>
        <v>0</v>
      </c>
      <c r="H56" s="5">
        <f t="shared" si="17"/>
        <v>0</v>
      </c>
      <c r="I56" s="5">
        <f t="shared" si="17"/>
        <v>0</v>
      </c>
      <c r="J56" s="5">
        <f t="shared" si="17"/>
        <v>0</v>
      </c>
      <c r="K56" s="5">
        <f t="shared" si="17"/>
        <v>0</v>
      </c>
      <c r="L56" s="5">
        <f t="shared" si="17"/>
        <v>0</v>
      </c>
      <c r="M56" s="25">
        <f t="shared" si="17"/>
        <v>0</v>
      </c>
      <c r="N56" s="5">
        <f t="shared" si="17"/>
        <v>0</v>
      </c>
      <c r="O56" s="5">
        <f t="shared" si="17"/>
        <v>874</v>
      </c>
      <c r="P56" s="5">
        <f t="shared" si="17"/>
        <v>3070274</v>
      </c>
      <c r="Q56" s="5">
        <f t="shared" si="17"/>
        <v>0</v>
      </c>
      <c r="R56" s="5">
        <f t="shared" si="17"/>
        <v>0</v>
      </c>
      <c r="S56" s="5">
        <f t="shared" si="17"/>
        <v>0</v>
      </c>
      <c r="T56" s="5">
        <f t="shared" si="17"/>
        <v>0</v>
      </c>
      <c r="U56" s="5">
        <f t="shared" si="17"/>
        <v>0</v>
      </c>
      <c r="V56" s="5">
        <f t="shared" si="17"/>
        <v>0</v>
      </c>
      <c r="W56" s="5">
        <f t="shared" si="17"/>
        <v>0</v>
      </c>
      <c r="X56" s="5">
        <f t="shared" si="17"/>
        <v>0</v>
      </c>
      <c r="Y56" s="5">
        <f t="shared" si="17"/>
        <v>0</v>
      </c>
      <c r="Z56" s="5">
        <f t="shared" si="17"/>
        <v>0</v>
      </c>
      <c r="AA56" s="5">
        <f t="shared" si="17"/>
        <v>0</v>
      </c>
      <c r="AB56" s="5">
        <f t="shared" si="17"/>
        <v>0</v>
      </c>
      <c r="AC56" s="5">
        <f t="shared" si="17"/>
        <v>0</v>
      </c>
      <c r="AD56" s="5">
        <f t="shared" si="17"/>
        <v>0</v>
      </c>
      <c r="AE56" s="18">
        <f t="shared" si="17"/>
        <v>0</v>
      </c>
      <c r="AF56" s="18">
        <f t="shared" si="17"/>
        <v>98182.39</v>
      </c>
      <c r="AG56" s="5">
        <f t="shared" si="17"/>
        <v>0</v>
      </c>
      <c r="AH56" s="6" t="s">
        <v>131</v>
      </c>
      <c r="AI56" s="6" t="s">
        <v>131</v>
      </c>
      <c r="AJ56" s="6" t="s">
        <v>131</v>
      </c>
    </row>
    <row r="57" spans="1:36" s="2" customFormat="1" ht="61.5">
      <c r="A57" s="2">
        <v>1</v>
      </c>
      <c r="B57" s="17">
        <f>SUBTOTAL(103,$A$18:A57)</f>
        <v>27</v>
      </c>
      <c r="C57" s="3" t="s">
        <v>199</v>
      </c>
      <c r="D57" s="19" t="s">
        <v>204</v>
      </c>
      <c r="E57" s="20">
        <v>1.0001</v>
      </c>
      <c r="F57" s="5">
        <f t="shared" si="4"/>
        <v>3168456.39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25">
        <v>0</v>
      </c>
      <c r="N57" s="5">
        <v>0</v>
      </c>
      <c r="O57" s="7">
        <v>874</v>
      </c>
      <c r="P57" s="7">
        <v>3070274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18">
        <v>0</v>
      </c>
      <c r="AF57" s="50">
        <v>98182.39</v>
      </c>
      <c r="AG57" s="5">
        <v>0</v>
      </c>
      <c r="AH57" s="6">
        <v>2020</v>
      </c>
      <c r="AI57" s="6">
        <v>2020</v>
      </c>
      <c r="AJ57" s="6" t="s">
        <v>49</v>
      </c>
    </row>
    <row r="58" spans="1:36" s="2" customFormat="1" ht="61.5">
      <c r="B58" s="21" t="s">
        <v>121</v>
      </c>
      <c r="C58" s="3"/>
      <c r="D58" s="19" t="s">
        <v>131</v>
      </c>
      <c r="E58" s="20">
        <f>AVERAGE(E59:E60)</f>
        <v>1.0058</v>
      </c>
      <c r="F58" s="5">
        <f>F60+F59+F61</f>
        <v>4966030.97</v>
      </c>
      <c r="G58" s="5">
        <f t="shared" ref="G58:AG58" si="18">G60+G59+G61</f>
        <v>0</v>
      </c>
      <c r="H58" s="5">
        <f t="shared" si="18"/>
        <v>0</v>
      </c>
      <c r="I58" s="5">
        <f t="shared" si="18"/>
        <v>0</v>
      </c>
      <c r="J58" s="5">
        <f t="shared" si="18"/>
        <v>0</v>
      </c>
      <c r="K58" s="5">
        <f t="shared" si="18"/>
        <v>0</v>
      </c>
      <c r="L58" s="5">
        <f t="shared" si="18"/>
        <v>0</v>
      </c>
      <c r="M58" s="25">
        <f t="shared" si="18"/>
        <v>0</v>
      </c>
      <c r="N58" s="5">
        <f t="shared" si="18"/>
        <v>0</v>
      </c>
      <c r="O58" s="5">
        <f t="shared" si="18"/>
        <v>880.82999999999993</v>
      </c>
      <c r="P58" s="5">
        <f t="shared" si="18"/>
        <v>3232706.81</v>
      </c>
      <c r="Q58" s="5">
        <f t="shared" si="18"/>
        <v>0</v>
      </c>
      <c r="R58" s="5">
        <f t="shared" si="18"/>
        <v>0</v>
      </c>
      <c r="S58" s="5">
        <f t="shared" si="18"/>
        <v>438.58</v>
      </c>
      <c r="T58" s="5">
        <f t="shared" si="18"/>
        <v>1586717.02</v>
      </c>
      <c r="U58" s="5">
        <f t="shared" si="18"/>
        <v>0</v>
      </c>
      <c r="V58" s="5">
        <f t="shared" si="18"/>
        <v>0</v>
      </c>
      <c r="W58" s="5">
        <f t="shared" si="18"/>
        <v>0</v>
      </c>
      <c r="X58" s="5">
        <f t="shared" si="18"/>
        <v>0</v>
      </c>
      <c r="Y58" s="5">
        <f t="shared" si="18"/>
        <v>0</v>
      </c>
      <c r="Z58" s="5">
        <f t="shared" si="18"/>
        <v>0</v>
      </c>
      <c r="AA58" s="5">
        <f t="shared" si="18"/>
        <v>0</v>
      </c>
      <c r="AB58" s="5">
        <f t="shared" si="18"/>
        <v>0</v>
      </c>
      <c r="AC58" s="5">
        <f t="shared" si="18"/>
        <v>0</v>
      </c>
      <c r="AD58" s="5">
        <f t="shared" si="18"/>
        <v>0</v>
      </c>
      <c r="AE58" s="5">
        <f t="shared" si="18"/>
        <v>62168.57</v>
      </c>
      <c r="AF58" s="5">
        <f t="shared" si="18"/>
        <v>84438.57</v>
      </c>
      <c r="AG58" s="5">
        <f t="shared" si="18"/>
        <v>0</v>
      </c>
      <c r="AH58" s="6" t="s">
        <v>131</v>
      </c>
      <c r="AI58" s="6" t="s">
        <v>131</v>
      </c>
      <c r="AJ58" s="6" t="s">
        <v>131</v>
      </c>
    </row>
    <row r="59" spans="1:36" s="2" customFormat="1" ht="61.5">
      <c r="A59" s="2">
        <v>1</v>
      </c>
      <c r="B59" s="17">
        <f>SUBTOTAL(103,$A$18:A59)</f>
        <v>28</v>
      </c>
      <c r="C59" s="3" t="s">
        <v>231</v>
      </c>
      <c r="D59" s="19" t="s">
        <v>201</v>
      </c>
      <c r="E59" s="20">
        <v>1</v>
      </c>
      <c r="F59" s="5">
        <f>G59+H59+I59+J59+K59+L59+N59+P59+R59+T59+V59+W59+X59+Y59+Z59+AA59+AB59+AC59+AD59+AE59+AF59+AG59</f>
        <v>1924066.04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25">
        <v>0</v>
      </c>
      <c r="N59" s="5">
        <v>0</v>
      </c>
      <c r="O59" s="7">
        <v>571.88</v>
      </c>
      <c r="P59" s="47">
        <v>1899561.69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47">
        <v>24504.35</v>
      </c>
      <c r="AF59" s="18">
        <v>0</v>
      </c>
      <c r="AG59" s="5">
        <v>0</v>
      </c>
      <c r="AH59" s="6" t="s">
        <v>49</v>
      </c>
      <c r="AI59" s="6">
        <v>2020</v>
      </c>
      <c r="AJ59" s="6">
        <v>2020</v>
      </c>
    </row>
    <row r="60" spans="1:36" s="2" customFormat="1" ht="61.5">
      <c r="A60" s="2">
        <v>1</v>
      </c>
      <c r="B60" s="17">
        <f>SUBTOTAL(103,$A$18:A60)</f>
        <v>29</v>
      </c>
      <c r="C60" s="3" t="s">
        <v>197</v>
      </c>
      <c r="D60" s="19" t="s">
        <v>207</v>
      </c>
      <c r="E60" s="20">
        <v>1.0116000000000001</v>
      </c>
      <c r="F60" s="5">
        <f t="shared" si="4"/>
        <v>1650932.93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25">
        <v>0</v>
      </c>
      <c r="N60" s="5">
        <v>0</v>
      </c>
      <c r="O60" s="5">
        <v>0</v>
      </c>
      <c r="P60" s="5">
        <f>O60*4800</f>
        <v>0</v>
      </c>
      <c r="Q60" s="5">
        <v>0</v>
      </c>
      <c r="R60" s="5">
        <v>0</v>
      </c>
      <c r="S60" s="7">
        <v>438.58</v>
      </c>
      <c r="T60" s="7">
        <v>1586717.02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7">
        <v>20468.650000000001</v>
      </c>
      <c r="AF60" s="50">
        <v>43747.26</v>
      </c>
      <c r="AG60" s="5">
        <v>0</v>
      </c>
      <c r="AH60" s="6">
        <v>2020</v>
      </c>
      <c r="AI60" s="6">
        <v>2020</v>
      </c>
      <c r="AJ60" s="6">
        <v>2020</v>
      </c>
    </row>
    <row r="61" spans="1:36" s="2" customFormat="1" ht="61.5">
      <c r="A61" s="2">
        <v>1</v>
      </c>
      <c r="B61" s="17">
        <f>SUBTOTAL(103,$A$18:A61)</f>
        <v>30</v>
      </c>
      <c r="C61" s="3" t="s">
        <v>31</v>
      </c>
      <c r="D61" s="19" t="s">
        <v>203</v>
      </c>
      <c r="E61" s="20">
        <v>1</v>
      </c>
      <c r="F61" s="5">
        <f t="shared" si="4"/>
        <v>1391032.0000000002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25">
        <v>0</v>
      </c>
      <c r="N61" s="5">
        <v>0</v>
      </c>
      <c r="O61" s="7">
        <v>308.95</v>
      </c>
      <c r="P61" s="7">
        <v>1333145.1200000001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7">
        <v>17195.57</v>
      </c>
      <c r="AF61" s="7">
        <v>40691.31</v>
      </c>
      <c r="AG61" s="5">
        <v>0</v>
      </c>
      <c r="AH61" s="6">
        <v>2020</v>
      </c>
      <c r="AI61" s="6">
        <v>2020</v>
      </c>
      <c r="AJ61" s="6">
        <v>2020</v>
      </c>
    </row>
    <row r="62" spans="1:36" s="2" customFormat="1" ht="61.5">
      <c r="B62" s="21" t="s">
        <v>120</v>
      </c>
      <c r="C62" s="3"/>
      <c r="D62" s="19" t="s">
        <v>131</v>
      </c>
      <c r="E62" s="20">
        <f>AVERAGE(E63)</f>
        <v>1</v>
      </c>
      <c r="F62" s="5">
        <f>F63</f>
        <v>1661171.06</v>
      </c>
      <c r="G62" s="5">
        <f t="shared" ref="G62:AG62" si="19">G63</f>
        <v>0</v>
      </c>
      <c r="H62" s="5">
        <f t="shared" si="19"/>
        <v>0</v>
      </c>
      <c r="I62" s="5">
        <f t="shared" si="19"/>
        <v>0</v>
      </c>
      <c r="J62" s="5">
        <f t="shared" si="19"/>
        <v>0</v>
      </c>
      <c r="K62" s="5">
        <f t="shared" si="19"/>
        <v>0</v>
      </c>
      <c r="L62" s="5">
        <f t="shared" si="19"/>
        <v>0</v>
      </c>
      <c r="M62" s="25">
        <f t="shared" si="19"/>
        <v>0</v>
      </c>
      <c r="N62" s="5">
        <f t="shared" si="19"/>
        <v>0</v>
      </c>
      <c r="O62" s="5">
        <f t="shared" si="19"/>
        <v>546.45000000000005</v>
      </c>
      <c r="P62" s="5">
        <f t="shared" si="19"/>
        <v>1569811.07</v>
      </c>
      <c r="Q62" s="5">
        <f t="shared" si="19"/>
        <v>0</v>
      </c>
      <c r="R62" s="5">
        <f t="shared" si="19"/>
        <v>0</v>
      </c>
      <c r="S62" s="5">
        <f t="shared" si="19"/>
        <v>0</v>
      </c>
      <c r="T62" s="5">
        <f t="shared" si="19"/>
        <v>0</v>
      </c>
      <c r="U62" s="5">
        <f t="shared" si="19"/>
        <v>0</v>
      </c>
      <c r="V62" s="5">
        <f t="shared" si="19"/>
        <v>0</v>
      </c>
      <c r="W62" s="5">
        <f t="shared" si="19"/>
        <v>0</v>
      </c>
      <c r="X62" s="5">
        <f t="shared" si="19"/>
        <v>0</v>
      </c>
      <c r="Y62" s="5">
        <f t="shared" si="19"/>
        <v>0</v>
      </c>
      <c r="Z62" s="5">
        <f t="shared" si="19"/>
        <v>0</v>
      </c>
      <c r="AA62" s="5">
        <f t="shared" si="19"/>
        <v>0</v>
      </c>
      <c r="AB62" s="5">
        <f t="shared" si="19"/>
        <v>0</v>
      </c>
      <c r="AC62" s="5">
        <f t="shared" si="19"/>
        <v>0</v>
      </c>
      <c r="AD62" s="5">
        <f t="shared" si="19"/>
        <v>0</v>
      </c>
      <c r="AE62" s="18">
        <f t="shared" si="19"/>
        <v>20250.560000000001</v>
      </c>
      <c r="AF62" s="18">
        <f t="shared" si="19"/>
        <v>71109.429999999993</v>
      </c>
      <c r="AG62" s="5">
        <f t="shared" si="19"/>
        <v>0</v>
      </c>
      <c r="AH62" s="6" t="s">
        <v>131</v>
      </c>
      <c r="AI62" s="6" t="s">
        <v>131</v>
      </c>
      <c r="AJ62" s="6" t="s">
        <v>131</v>
      </c>
    </row>
    <row r="63" spans="1:36" s="2" customFormat="1" ht="61.5">
      <c r="A63" s="2">
        <v>1</v>
      </c>
      <c r="B63" s="17">
        <f>SUBTOTAL(103,$A$18:A63)</f>
        <v>31</v>
      </c>
      <c r="C63" s="3" t="s">
        <v>226</v>
      </c>
      <c r="D63" s="19" t="s">
        <v>206</v>
      </c>
      <c r="E63" s="20">
        <v>1</v>
      </c>
      <c r="F63" s="5">
        <f t="shared" si="4"/>
        <v>1661171.06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25">
        <v>0</v>
      </c>
      <c r="N63" s="5">
        <v>0</v>
      </c>
      <c r="O63" s="7">
        <v>546.45000000000005</v>
      </c>
      <c r="P63" s="47">
        <v>1569811.07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47">
        <v>20250.560000000001</v>
      </c>
      <c r="AF63" s="50">
        <v>71109.429999999993</v>
      </c>
      <c r="AG63" s="5">
        <v>0</v>
      </c>
      <c r="AH63" s="6">
        <v>2020</v>
      </c>
      <c r="AI63" s="6">
        <v>2020</v>
      </c>
      <c r="AJ63" s="6">
        <v>2020</v>
      </c>
    </row>
    <row r="64" spans="1:36" s="2" customFormat="1" ht="61.5">
      <c r="B64" s="21" t="s">
        <v>106</v>
      </c>
      <c r="C64" s="3"/>
      <c r="D64" s="19" t="s">
        <v>131</v>
      </c>
      <c r="E64" s="20">
        <f>E65</f>
        <v>1.009761876417796</v>
      </c>
      <c r="F64" s="5">
        <f>F65</f>
        <v>119901.4</v>
      </c>
      <c r="G64" s="5">
        <f t="shared" ref="G64:AG64" si="20">G65</f>
        <v>0</v>
      </c>
      <c r="H64" s="5">
        <f t="shared" si="20"/>
        <v>0</v>
      </c>
      <c r="I64" s="5">
        <f t="shared" si="20"/>
        <v>0</v>
      </c>
      <c r="J64" s="5">
        <f t="shared" si="20"/>
        <v>0</v>
      </c>
      <c r="K64" s="5">
        <f t="shared" si="20"/>
        <v>0</v>
      </c>
      <c r="L64" s="5">
        <f t="shared" si="20"/>
        <v>0</v>
      </c>
      <c r="M64" s="25">
        <f t="shared" si="20"/>
        <v>0</v>
      </c>
      <c r="N64" s="5">
        <f t="shared" si="20"/>
        <v>0</v>
      </c>
      <c r="O64" s="5">
        <f t="shared" si="20"/>
        <v>0</v>
      </c>
      <c r="P64" s="5">
        <f t="shared" si="20"/>
        <v>0</v>
      </c>
      <c r="Q64" s="5">
        <f t="shared" si="20"/>
        <v>0</v>
      </c>
      <c r="R64" s="5">
        <f t="shared" si="20"/>
        <v>0</v>
      </c>
      <c r="S64" s="5">
        <f t="shared" si="20"/>
        <v>0</v>
      </c>
      <c r="T64" s="5">
        <f t="shared" si="20"/>
        <v>0</v>
      </c>
      <c r="U64" s="5">
        <f t="shared" si="20"/>
        <v>0</v>
      </c>
      <c r="V64" s="5">
        <f t="shared" si="20"/>
        <v>0</v>
      </c>
      <c r="W64" s="5">
        <f t="shared" si="20"/>
        <v>0</v>
      </c>
      <c r="X64" s="5">
        <f t="shared" si="20"/>
        <v>0</v>
      </c>
      <c r="Y64" s="5">
        <f t="shared" si="20"/>
        <v>0</v>
      </c>
      <c r="Z64" s="5">
        <f t="shared" si="20"/>
        <v>0</v>
      </c>
      <c r="AA64" s="5">
        <f t="shared" si="20"/>
        <v>0</v>
      </c>
      <c r="AB64" s="5">
        <f t="shared" si="20"/>
        <v>0</v>
      </c>
      <c r="AC64" s="5">
        <f t="shared" si="20"/>
        <v>0</v>
      </c>
      <c r="AD64" s="5">
        <f t="shared" si="20"/>
        <v>0</v>
      </c>
      <c r="AE64" s="5">
        <f t="shared" si="20"/>
        <v>0</v>
      </c>
      <c r="AF64" s="5">
        <f t="shared" si="20"/>
        <v>119901.4</v>
      </c>
      <c r="AG64" s="5">
        <f t="shared" si="20"/>
        <v>0</v>
      </c>
      <c r="AH64" s="6" t="s">
        <v>131</v>
      </c>
      <c r="AI64" s="6" t="s">
        <v>131</v>
      </c>
      <c r="AJ64" s="6" t="s">
        <v>131</v>
      </c>
    </row>
    <row r="65" spans="1:36" s="2" customFormat="1" ht="61.5">
      <c r="A65" s="2">
        <v>1</v>
      </c>
      <c r="B65" s="17">
        <f>SUBTOTAL(103,$A$18:A65)</f>
        <v>32</v>
      </c>
      <c r="C65" s="3" t="s">
        <v>255</v>
      </c>
      <c r="D65" s="19" t="s">
        <v>206</v>
      </c>
      <c r="E65" s="20">
        <v>1.009761876417796</v>
      </c>
      <c r="F65" s="5">
        <f t="shared" si="4"/>
        <v>119901.4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2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f>ROUND(P65*1.5%,2)</f>
        <v>0</v>
      </c>
      <c r="AF65" s="36">
        <v>119901.4</v>
      </c>
      <c r="AG65" s="5">
        <v>0</v>
      </c>
      <c r="AH65" s="6">
        <v>2020</v>
      </c>
      <c r="AI65" s="6" t="s">
        <v>49</v>
      </c>
      <c r="AJ65" s="6" t="s">
        <v>49</v>
      </c>
    </row>
    <row r="66" spans="1:36" s="2" customFormat="1" ht="61.5">
      <c r="B66" s="21" t="s">
        <v>125</v>
      </c>
      <c r="C66" s="3"/>
      <c r="D66" s="19" t="s">
        <v>131</v>
      </c>
      <c r="E66" s="20">
        <f>E67</f>
        <v>1.0869557735329547</v>
      </c>
      <c r="F66" s="5">
        <f>F67</f>
        <v>603261.75</v>
      </c>
      <c r="G66" s="5">
        <f t="shared" ref="G66:AG66" si="21">G67</f>
        <v>0</v>
      </c>
      <c r="H66" s="5">
        <f t="shared" si="21"/>
        <v>0</v>
      </c>
      <c r="I66" s="5">
        <f t="shared" si="21"/>
        <v>0</v>
      </c>
      <c r="J66" s="5">
        <f t="shared" si="21"/>
        <v>0</v>
      </c>
      <c r="K66" s="5">
        <f t="shared" si="21"/>
        <v>597348</v>
      </c>
      <c r="L66" s="5">
        <f t="shared" si="21"/>
        <v>0</v>
      </c>
      <c r="M66" s="25">
        <f t="shared" si="21"/>
        <v>0</v>
      </c>
      <c r="N66" s="5">
        <f t="shared" si="21"/>
        <v>0</v>
      </c>
      <c r="O66" s="5">
        <f t="shared" si="21"/>
        <v>0</v>
      </c>
      <c r="P66" s="5">
        <f t="shared" si="21"/>
        <v>0</v>
      </c>
      <c r="Q66" s="5">
        <f t="shared" si="21"/>
        <v>0</v>
      </c>
      <c r="R66" s="5">
        <f t="shared" si="21"/>
        <v>0</v>
      </c>
      <c r="S66" s="5">
        <f t="shared" si="21"/>
        <v>0</v>
      </c>
      <c r="T66" s="5">
        <f t="shared" si="21"/>
        <v>0</v>
      </c>
      <c r="U66" s="5">
        <f t="shared" si="21"/>
        <v>0</v>
      </c>
      <c r="V66" s="5">
        <f t="shared" si="21"/>
        <v>0</v>
      </c>
      <c r="W66" s="5">
        <f t="shared" si="21"/>
        <v>0</v>
      </c>
      <c r="X66" s="5">
        <f t="shared" si="21"/>
        <v>0</v>
      </c>
      <c r="Y66" s="5">
        <f t="shared" si="21"/>
        <v>0</v>
      </c>
      <c r="Z66" s="5">
        <f t="shared" si="21"/>
        <v>0</v>
      </c>
      <c r="AA66" s="5">
        <f t="shared" si="21"/>
        <v>0</v>
      </c>
      <c r="AB66" s="5">
        <f t="shared" si="21"/>
        <v>0</v>
      </c>
      <c r="AC66" s="5">
        <f t="shared" si="21"/>
        <v>0</v>
      </c>
      <c r="AD66" s="5">
        <f t="shared" si="21"/>
        <v>0</v>
      </c>
      <c r="AE66" s="5">
        <f t="shared" si="21"/>
        <v>5913.75</v>
      </c>
      <c r="AF66" s="5">
        <f t="shared" si="21"/>
        <v>0</v>
      </c>
      <c r="AG66" s="5">
        <f t="shared" si="21"/>
        <v>0</v>
      </c>
      <c r="AH66" s="6" t="s">
        <v>131</v>
      </c>
      <c r="AI66" s="6" t="s">
        <v>131</v>
      </c>
      <c r="AJ66" s="6" t="s">
        <v>131</v>
      </c>
    </row>
    <row r="67" spans="1:36" s="2" customFormat="1" ht="61.5">
      <c r="A67" s="2">
        <v>1</v>
      </c>
      <c r="B67" s="17">
        <f>SUBTOTAL(103,$A$18:A67)</f>
        <v>33</v>
      </c>
      <c r="C67" s="3" t="s">
        <v>256</v>
      </c>
      <c r="D67" s="19" t="s">
        <v>206</v>
      </c>
      <c r="E67" s="20">
        <v>1.0869557735329547</v>
      </c>
      <c r="F67" s="5">
        <f t="shared" si="4"/>
        <v>603261.75</v>
      </c>
      <c r="G67" s="5">
        <v>0</v>
      </c>
      <c r="H67" s="5">
        <v>0</v>
      </c>
      <c r="I67" s="5">
        <v>0</v>
      </c>
      <c r="J67" s="5">
        <v>0</v>
      </c>
      <c r="K67" s="7">
        <v>597348</v>
      </c>
      <c r="L67" s="5">
        <v>0</v>
      </c>
      <c r="M67" s="2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7">
        <v>5913.75</v>
      </c>
      <c r="AF67" s="5">
        <v>0</v>
      </c>
      <c r="AG67" s="5">
        <v>0</v>
      </c>
      <c r="AH67" s="6" t="s">
        <v>49</v>
      </c>
      <c r="AI67" s="6">
        <v>2020</v>
      </c>
      <c r="AJ67" s="6">
        <v>2020</v>
      </c>
    </row>
    <row r="68" spans="1:36" s="23" customFormat="1" ht="61.5">
      <c r="B68" s="49" t="s">
        <v>580</v>
      </c>
      <c r="C68" s="24"/>
      <c r="D68" s="19" t="s">
        <v>131</v>
      </c>
      <c r="E68" s="20">
        <f>AVERAGE(E69:E86)</f>
        <v>1.0170814814814815</v>
      </c>
      <c r="F68" s="5">
        <f>F69+F73+F75+F77+F81+F83+F85+F87</f>
        <v>30227457.809999999</v>
      </c>
      <c r="G68" s="5">
        <f t="shared" ref="G68:AG68" si="22">G69+G73+G75+G77+G81+G83+G85+G87</f>
        <v>0</v>
      </c>
      <c r="H68" s="5">
        <f t="shared" si="22"/>
        <v>0</v>
      </c>
      <c r="I68" s="5">
        <f t="shared" si="22"/>
        <v>0</v>
      </c>
      <c r="J68" s="5">
        <f t="shared" si="22"/>
        <v>0</v>
      </c>
      <c r="K68" s="5">
        <f t="shared" si="22"/>
        <v>0</v>
      </c>
      <c r="L68" s="5">
        <f t="shared" si="22"/>
        <v>0</v>
      </c>
      <c r="M68" s="25">
        <f t="shared" si="22"/>
        <v>0</v>
      </c>
      <c r="N68" s="5">
        <f t="shared" si="22"/>
        <v>0</v>
      </c>
      <c r="O68" s="5">
        <f t="shared" si="22"/>
        <v>5251.84</v>
      </c>
      <c r="P68" s="5">
        <f t="shared" si="22"/>
        <v>26928463.400000002</v>
      </c>
      <c r="Q68" s="5">
        <f t="shared" si="22"/>
        <v>0</v>
      </c>
      <c r="R68" s="5">
        <f t="shared" si="22"/>
        <v>0</v>
      </c>
      <c r="S68" s="5">
        <f t="shared" si="22"/>
        <v>521.92999999999995</v>
      </c>
      <c r="T68" s="5">
        <f t="shared" si="22"/>
        <v>2556716.71</v>
      </c>
      <c r="U68" s="5">
        <f t="shared" si="22"/>
        <v>0</v>
      </c>
      <c r="V68" s="5">
        <f t="shared" si="22"/>
        <v>0</v>
      </c>
      <c r="W68" s="5">
        <f t="shared" si="22"/>
        <v>0</v>
      </c>
      <c r="X68" s="5">
        <f t="shared" si="22"/>
        <v>0</v>
      </c>
      <c r="Y68" s="5">
        <f t="shared" si="22"/>
        <v>0</v>
      </c>
      <c r="Z68" s="5">
        <f t="shared" si="22"/>
        <v>0</v>
      </c>
      <c r="AA68" s="5">
        <f t="shared" si="22"/>
        <v>0</v>
      </c>
      <c r="AB68" s="5">
        <f t="shared" si="22"/>
        <v>0</v>
      </c>
      <c r="AC68" s="5">
        <f t="shared" si="22"/>
        <v>0</v>
      </c>
      <c r="AD68" s="5">
        <f t="shared" si="22"/>
        <v>0</v>
      </c>
      <c r="AE68" s="5">
        <f t="shared" si="22"/>
        <v>442277.69999999995</v>
      </c>
      <c r="AF68" s="5">
        <f t="shared" si="22"/>
        <v>300000</v>
      </c>
      <c r="AG68" s="5">
        <f t="shared" si="22"/>
        <v>0</v>
      </c>
      <c r="AH68" s="6" t="s">
        <v>131</v>
      </c>
      <c r="AI68" s="6" t="s">
        <v>131</v>
      </c>
      <c r="AJ68" s="6" t="s">
        <v>131</v>
      </c>
    </row>
    <row r="69" spans="1:36" s="2" customFormat="1" ht="61.5">
      <c r="B69" s="21" t="s">
        <v>209</v>
      </c>
      <c r="C69" s="3"/>
      <c r="D69" s="19" t="s">
        <v>131</v>
      </c>
      <c r="E69" s="20">
        <f>AVERAGE(E70:E72)</f>
        <v>1.0022</v>
      </c>
      <c r="F69" s="5">
        <f t="shared" ref="F69:AG69" si="23">SUM(F70:F72)</f>
        <v>5103149.49</v>
      </c>
      <c r="G69" s="5">
        <f t="shared" si="23"/>
        <v>0</v>
      </c>
      <c r="H69" s="5">
        <f t="shared" si="23"/>
        <v>0</v>
      </c>
      <c r="I69" s="5">
        <f t="shared" si="23"/>
        <v>0</v>
      </c>
      <c r="J69" s="5">
        <f t="shared" si="23"/>
        <v>0</v>
      </c>
      <c r="K69" s="5">
        <f t="shared" si="23"/>
        <v>0</v>
      </c>
      <c r="L69" s="5">
        <f t="shared" si="23"/>
        <v>0</v>
      </c>
      <c r="M69" s="25">
        <f t="shared" si="23"/>
        <v>0</v>
      </c>
      <c r="N69" s="5">
        <f t="shared" si="23"/>
        <v>0</v>
      </c>
      <c r="O69" s="5">
        <f t="shared" si="23"/>
        <v>631.93000000000006</v>
      </c>
      <c r="P69" s="5">
        <f t="shared" si="23"/>
        <v>2471016.7799999998</v>
      </c>
      <c r="Q69" s="5">
        <f t="shared" si="23"/>
        <v>0</v>
      </c>
      <c r="R69" s="5">
        <f t="shared" si="23"/>
        <v>0</v>
      </c>
      <c r="S69" s="5">
        <f t="shared" si="23"/>
        <v>521.92999999999995</v>
      </c>
      <c r="T69" s="5">
        <f t="shared" si="23"/>
        <v>2556716.71</v>
      </c>
      <c r="U69" s="5">
        <f t="shared" si="23"/>
        <v>0</v>
      </c>
      <c r="V69" s="5">
        <f t="shared" si="23"/>
        <v>0</v>
      </c>
      <c r="W69" s="5">
        <f t="shared" si="23"/>
        <v>0</v>
      </c>
      <c r="X69" s="5">
        <f t="shared" si="23"/>
        <v>0</v>
      </c>
      <c r="Y69" s="5">
        <f t="shared" si="23"/>
        <v>0</v>
      </c>
      <c r="Z69" s="5">
        <f t="shared" si="23"/>
        <v>0</v>
      </c>
      <c r="AA69" s="5">
        <f t="shared" si="23"/>
        <v>0</v>
      </c>
      <c r="AB69" s="5">
        <f t="shared" si="23"/>
        <v>0</v>
      </c>
      <c r="AC69" s="5">
        <f t="shared" si="23"/>
        <v>0</v>
      </c>
      <c r="AD69" s="5">
        <f t="shared" si="23"/>
        <v>0</v>
      </c>
      <c r="AE69" s="5">
        <f t="shared" si="23"/>
        <v>75416</v>
      </c>
      <c r="AF69" s="5">
        <f t="shared" si="23"/>
        <v>0</v>
      </c>
      <c r="AG69" s="5">
        <f t="shared" si="23"/>
        <v>0</v>
      </c>
      <c r="AH69" s="6" t="s">
        <v>131</v>
      </c>
      <c r="AI69" s="6" t="s">
        <v>131</v>
      </c>
      <c r="AJ69" s="6" t="s">
        <v>131</v>
      </c>
    </row>
    <row r="70" spans="1:36" s="2" customFormat="1" ht="61.5">
      <c r="A70" s="2">
        <v>1</v>
      </c>
      <c r="B70" s="17">
        <f>SUBTOTAL(103,$A$69:A70)</f>
        <v>1</v>
      </c>
      <c r="C70" s="3" t="s">
        <v>185</v>
      </c>
      <c r="D70" s="19" t="s">
        <v>203</v>
      </c>
      <c r="E70" s="20">
        <v>1.0003</v>
      </c>
      <c r="F70" s="5">
        <f t="shared" ref="F70:F72" si="24">G70+H70+I70+J70+K70+L70+N70+P70+R70+T70+V70+W70+X70+Y70+Z70+AA70+AB70+AC70+AD70+AE70+AF70+AG70</f>
        <v>1063050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25">
        <v>0</v>
      </c>
      <c r="N70" s="5">
        <v>0</v>
      </c>
      <c r="O70" s="5">
        <v>257</v>
      </c>
      <c r="P70" s="5">
        <v>1047339.9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18">
        <f>ROUND(P70*1.5%,2)</f>
        <v>15710.1</v>
      </c>
      <c r="AF70" s="18">
        <v>0</v>
      </c>
      <c r="AG70" s="18">
        <v>0</v>
      </c>
      <c r="AH70" s="6" t="s">
        <v>49</v>
      </c>
      <c r="AI70" s="6">
        <v>2021</v>
      </c>
      <c r="AJ70" s="6">
        <v>2021</v>
      </c>
    </row>
    <row r="71" spans="1:36" s="2" customFormat="1" ht="61.5">
      <c r="A71" s="2">
        <v>1</v>
      </c>
      <c r="B71" s="17">
        <f>SUBTOTAL(103,$A$69:A71)</f>
        <v>2</v>
      </c>
      <c r="C71" s="3" t="s">
        <v>233</v>
      </c>
      <c r="D71" s="19" t="s">
        <v>204</v>
      </c>
      <c r="E71" s="20">
        <v>1.0026999999999999</v>
      </c>
      <c r="F71" s="5">
        <f t="shared" si="24"/>
        <v>2595067.46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2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521.92999999999995</v>
      </c>
      <c r="T71" s="5">
        <v>2556716.71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18">
        <f>ROUND(T71*1.5%,2)</f>
        <v>38350.75</v>
      </c>
      <c r="AF71" s="18">
        <v>0</v>
      </c>
      <c r="AG71" s="18">
        <v>0</v>
      </c>
      <c r="AH71" s="6" t="s">
        <v>49</v>
      </c>
      <c r="AI71" s="6">
        <v>2021</v>
      </c>
      <c r="AJ71" s="6">
        <v>2021</v>
      </c>
    </row>
    <row r="72" spans="1:36" s="2" customFormat="1" ht="61.5">
      <c r="A72" s="2">
        <v>1</v>
      </c>
      <c r="B72" s="17">
        <f>SUBTOTAL(103,$A$69:A72)</f>
        <v>3</v>
      </c>
      <c r="C72" s="3" t="s">
        <v>253</v>
      </c>
      <c r="D72" s="19" t="s">
        <v>202</v>
      </c>
      <c r="E72" s="20">
        <v>1.0036</v>
      </c>
      <c r="F72" s="5">
        <f t="shared" si="24"/>
        <v>1445032.0299999998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25">
        <v>0</v>
      </c>
      <c r="N72" s="5">
        <v>0</v>
      </c>
      <c r="O72" s="5">
        <v>374.93</v>
      </c>
      <c r="P72" s="5">
        <v>1423676.88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18">
        <f>ROUND(P72*1.5%,2)</f>
        <v>21355.15</v>
      </c>
      <c r="AF72" s="18">
        <v>0</v>
      </c>
      <c r="AG72" s="18">
        <v>0</v>
      </c>
      <c r="AH72" s="6" t="s">
        <v>49</v>
      </c>
      <c r="AI72" s="6">
        <v>2021</v>
      </c>
      <c r="AJ72" s="6">
        <v>2021</v>
      </c>
    </row>
    <row r="73" spans="1:36" s="2" customFormat="1" ht="61.5">
      <c r="B73" s="21" t="s">
        <v>101</v>
      </c>
      <c r="C73" s="3"/>
      <c r="D73" s="19" t="s">
        <v>131</v>
      </c>
      <c r="E73" s="20">
        <f>AVERAGE(E74)</f>
        <v>1.0308999999999999</v>
      </c>
      <c r="F73" s="5">
        <f>F74</f>
        <v>1450562.89</v>
      </c>
      <c r="G73" s="5">
        <f t="shared" ref="G73:AG73" si="25">G74</f>
        <v>0</v>
      </c>
      <c r="H73" s="5">
        <f t="shared" si="25"/>
        <v>0</v>
      </c>
      <c r="I73" s="5">
        <f t="shared" si="25"/>
        <v>0</v>
      </c>
      <c r="J73" s="5">
        <f t="shared" si="25"/>
        <v>0</v>
      </c>
      <c r="K73" s="5">
        <f t="shared" si="25"/>
        <v>0</v>
      </c>
      <c r="L73" s="5">
        <f t="shared" si="25"/>
        <v>0</v>
      </c>
      <c r="M73" s="25">
        <f t="shared" si="25"/>
        <v>0</v>
      </c>
      <c r="N73" s="5">
        <f t="shared" si="25"/>
        <v>0</v>
      </c>
      <c r="O73" s="5">
        <f t="shared" si="25"/>
        <v>292.8</v>
      </c>
      <c r="P73" s="5">
        <f t="shared" si="25"/>
        <v>1429126</v>
      </c>
      <c r="Q73" s="5">
        <f t="shared" si="25"/>
        <v>0</v>
      </c>
      <c r="R73" s="5">
        <f t="shared" si="25"/>
        <v>0</v>
      </c>
      <c r="S73" s="5">
        <f t="shared" si="25"/>
        <v>0</v>
      </c>
      <c r="T73" s="5">
        <f t="shared" si="25"/>
        <v>0</v>
      </c>
      <c r="U73" s="5">
        <f t="shared" si="25"/>
        <v>0</v>
      </c>
      <c r="V73" s="5">
        <f t="shared" si="25"/>
        <v>0</v>
      </c>
      <c r="W73" s="5">
        <f t="shared" si="25"/>
        <v>0</v>
      </c>
      <c r="X73" s="5">
        <f t="shared" si="25"/>
        <v>0</v>
      </c>
      <c r="Y73" s="5">
        <f t="shared" si="25"/>
        <v>0</v>
      </c>
      <c r="Z73" s="5">
        <f t="shared" si="25"/>
        <v>0</v>
      </c>
      <c r="AA73" s="5">
        <f t="shared" si="25"/>
        <v>0</v>
      </c>
      <c r="AB73" s="5">
        <f t="shared" si="25"/>
        <v>0</v>
      </c>
      <c r="AC73" s="5">
        <f t="shared" si="25"/>
        <v>0</v>
      </c>
      <c r="AD73" s="5">
        <f t="shared" si="25"/>
        <v>0</v>
      </c>
      <c r="AE73" s="18">
        <f t="shared" si="25"/>
        <v>21436.89</v>
      </c>
      <c r="AF73" s="18">
        <f t="shared" si="25"/>
        <v>0</v>
      </c>
      <c r="AG73" s="5">
        <f t="shared" si="25"/>
        <v>0</v>
      </c>
      <c r="AH73" s="6" t="s">
        <v>131</v>
      </c>
      <c r="AI73" s="6" t="s">
        <v>131</v>
      </c>
      <c r="AJ73" s="6" t="s">
        <v>131</v>
      </c>
    </row>
    <row r="74" spans="1:36" s="2" customFormat="1" ht="61.5">
      <c r="A74" s="2">
        <v>1</v>
      </c>
      <c r="B74" s="17">
        <f>SUBTOTAL(103,$A$69:A74)</f>
        <v>4</v>
      </c>
      <c r="C74" s="3" t="s">
        <v>186</v>
      </c>
      <c r="D74" s="19" t="s">
        <v>201</v>
      </c>
      <c r="E74" s="20">
        <v>1.0308999999999999</v>
      </c>
      <c r="F74" s="5">
        <f t="shared" ref="F74" si="26">G74+H74+I74+J74+K74+L74+N74+P74+R74+T74+V74+W74+X74+Y74+Z74+AA74+AB74+AC74+AD74+AE74+AF74+AG74</f>
        <v>1450562.89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25">
        <v>0</v>
      </c>
      <c r="N74" s="5">
        <v>0</v>
      </c>
      <c r="O74" s="5">
        <v>292.8</v>
      </c>
      <c r="P74" s="5">
        <v>1429126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18">
        <f>ROUND(P74*1.5%,2)</f>
        <v>21436.89</v>
      </c>
      <c r="AF74" s="18">
        <v>0</v>
      </c>
      <c r="AG74" s="5">
        <v>0</v>
      </c>
      <c r="AH74" s="6" t="s">
        <v>49</v>
      </c>
      <c r="AI74" s="6">
        <v>2021</v>
      </c>
      <c r="AJ74" s="6">
        <v>2021</v>
      </c>
    </row>
    <row r="75" spans="1:36" s="2" customFormat="1" ht="61.5">
      <c r="B75" s="21" t="s">
        <v>210</v>
      </c>
      <c r="C75" s="3"/>
      <c r="D75" s="19" t="s">
        <v>131</v>
      </c>
      <c r="E75" s="20">
        <f>AVERAGE(E76:E76)</f>
        <v>1.0385</v>
      </c>
      <c r="F75" s="5">
        <f t="shared" ref="F75:AG75" si="27">SUM(F76:F76)</f>
        <v>2607490.21</v>
      </c>
      <c r="G75" s="5">
        <f t="shared" si="27"/>
        <v>0</v>
      </c>
      <c r="H75" s="5">
        <f t="shared" si="27"/>
        <v>0</v>
      </c>
      <c r="I75" s="5">
        <f t="shared" si="27"/>
        <v>0</v>
      </c>
      <c r="J75" s="5">
        <f t="shared" si="27"/>
        <v>0</v>
      </c>
      <c r="K75" s="5">
        <f t="shared" si="27"/>
        <v>0</v>
      </c>
      <c r="L75" s="5">
        <f t="shared" si="27"/>
        <v>0</v>
      </c>
      <c r="M75" s="25">
        <f t="shared" si="27"/>
        <v>0</v>
      </c>
      <c r="N75" s="5">
        <f t="shared" si="27"/>
        <v>0</v>
      </c>
      <c r="O75" s="5">
        <f t="shared" si="27"/>
        <v>344.84</v>
      </c>
      <c r="P75" s="5">
        <f t="shared" si="27"/>
        <v>2421172.62</v>
      </c>
      <c r="Q75" s="5">
        <f t="shared" si="27"/>
        <v>0</v>
      </c>
      <c r="R75" s="5">
        <f t="shared" si="27"/>
        <v>0</v>
      </c>
      <c r="S75" s="5">
        <f t="shared" si="27"/>
        <v>0</v>
      </c>
      <c r="T75" s="5">
        <f t="shared" si="27"/>
        <v>0</v>
      </c>
      <c r="U75" s="5">
        <f t="shared" si="27"/>
        <v>0</v>
      </c>
      <c r="V75" s="5">
        <f t="shared" si="27"/>
        <v>0</v>
      </c>
      <c r="W75" s="5">
        <f t="shared" si="27"/>
        <v>0</v>
      </c>
      <c r="X75" s="5">
        <f t="shared" si="27"/>
        <v>0</v>
      </c>
      <c r="Y75" s="5">
        <f t="shared" si="27"/>
        <v>0</v>
      </c>
      <c r="Z75" s="5">
        <f t="shared" si="27"/>
        <v>0</v>
      </c>
      <c r="AA75" s="5">
        <f t="shared" si="27"/>
        <v>0</v>
      </c>
      <c r="AB75" s="5">
        <f t="shared" si="27"/>
        <v>0</v>
      </c>
      <c r="AC75" s="5">
        <f t="shared" si="27"/>
        <v>0</v>
      </c>
      <c r="AD75" s="5">
        <f t="shared" si="27"/>
        <v>0</v>
      </c>
      <c r="AE75" s="18">
        <f t="shared" si="27"/>
        <v>36317.589999999997</v>
      </c>
      <c r="AF75" s="18">
        <f t="shared" si="27"/>
        <v>150000</v>
      </c>
      <c r="AG75" s="5">
        <f t="shared" si="27"/>
        <v>0</v>
      </c>
      <c r="AH75" s="6" t="s">
        <v>131</v>
      </c>
      <c r="AI75" s="6" t="s">
        <v>131</v>
      </c>
      <c r="AJ75" s="6" t="s">
        <v>131</v>
      </c>
    </row>
    <row r="76" spans="1:36" s="2" customFormat="1" ht="61.5">
      <c r="A76" s="2">
        <v>1</v>
      </c>
      <c r="B76" s="17">
        <f>SUBTOTAL(103,$A$69:A76)</f>
        <v>5</v>
      </c>
      <c r="C76" s="3" t="s">
        <v>581</v>
      </c>
      <c r="D76" s="19" t="s">
        <v>204</v>
      </c>
      <c r="E76" s="20">
        <v>1.0385</v>
      </c>
      <c r="F76" s="5">
        <f t="shared" ref="F76" si="28">G76+H76+I76+J76+K76+L76+N76+P76+R76+T76+V76+W76+X76+Y76+Z76+AA76+AB76+AC76+AD76+AE76+AF76+AG76</f>
        <v>2607490.21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25">
        <v>0</v>
      </c>
      <c r="N76" s="5">
        <v>0</v>
      </c>
      <c r="O76" s="5">
        <v>344.84</v>
      </c>
      <c r="P76" s="5">
        <v>2421172.62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18">
        <f>ROUND(P76*1.5%,2)</f>
        <v>36317.589999999997</v>
      </c>
      <c r="AF76" s="50">
        <v>150000</v>
      </c>
      <c r="AG76" s="5">
        <v>0</v>
      </c>
      <c r="AH76" s="6">
        <v>2021</v>
      </c>
      <c r="AI76" s="6">
        <v>2021</v>
      </c>
      <c r="AJ76" s="6">
        <v>2021</v>
      </c>
    </row>
    <row r="77" spans="1:36" s="2" customFormat="1" ht="61.5">
      <c r="B77" s="21" t="s">
        <v>91</v>
      </c>
      <c r="C77" s="3"/>
      <c r="D77" s="19" t="s">
        <v>131</v>
      </c>
      <c r="E77" s="20">
        <f>AVERAGE(E78:E80)</f>
        <v>1.0097666666666667</v>
      </c>
      <c r="F77" s="5">
        <f>SUM(F78:F80)</f>
        <v>6196990.8700000001</v>
      </c>
      <c r="G77" s="5">
        <f t="shared" ref="G77:AG77" si="29">SUM(G78:G80)</f>
        <v>0</v>
      </c>
      <c r="H77" s="5">
        <f t="shared" si="29"/>
        <v>0</v>
      </c>
      <c r="I77" s="5">
        <f t="shared" si="29"/>
        <v>0</v>
      </c>
      <c r="J77" s="5">
        <f t="shared" si="29"/>
        <v>0</v>
      </c>
      <c r="K77" s="5">
        <f t="shared" si="29"/>
        <v>0</v>
      </c>
      <c r="L77" s="5">
        <f t="shared" si="29"/>
        <v>0</v>
      </c>
      <c r="M77" s="25">
        <f t="shared" si="29"/>
        <v>0</v>
      </c>
      <c r="N77" s="5">
        <f t="shared" si="29"/>
        <v>0</v>
      </c>
      <c r="O77" s="5">
        <f t="shared" si="29"/>
        <v>1215.3400000000001</v>
      </c>
      <c r="P77" s="5">
        <f t="shared" si="29"/>
        <v>6105409.7200000007</v>
      </c>
      <c r="Q77" s="5">
        <f t="shared" si="29"/>
        <v>0</v>
      </c>
      <c r="R77" s="5">
        <f t="shared" si="29"/>
        <v>0</v>
      </c>
      <c r="S77" s="5">
        <f t="shared" si="29"/>
        <v>0</v>
      </c>
      <c r="T77" s="5">
        <f t="shared" si="29"/>
        <v>0</v>
      </c>
      <c r="U77" s="5">
        <f t="shared" si="29"/>
        <v>0</v>
      </c>
      <c r="V77" s="5">
        <f t="shared" si="29"/>
        <v>0</v>
      </c>
      <c r="W77" s="5">
        <f t="shared" si="29"/>
        <v>0</v>
      </c>
      <c r="X77" s="5">
        <f t="shared" si="29"/>
        <v>0</v>
      </c>
      <c r="Y77" s="5">
        <f t="shared" si="29"/>
        <v>0</v>
      </c>
      <c r="Z77" s="5">
        <f t="shared" si="29"/>
        <v>0</v>
      </c>
      <c r="AA77" s="5">
        <f t="shared" si="29"/>
        <v>0</v>
      </c>
      <c r="AB77" s="5">
        <f t="shared" si="29"/>
        <v>0</v>
      </c>
      <c r="AC77" s="5">
        <f t="shared" si="29"/>
        <v>0</v>
      </c>
      <c r="AD77" s="5">
        <f t="shared" si="29"/>
        <v>0</v>
      </c>
      <c r="AE77" s="18">
        <f t="shared" si="29"/>
        <v>91581.15</v>
      </c>
      <c r="AF77" s="18">
        <f t="shared" si="29"/>
        <v>0</v>
      </c>
      <c r="AG77" s="5">
        <f t="shared" si="29"/>
        <v>0</v>
      </c>
      <c r="AH77" s="6" t="s">
        <v>131</v>
      </c>
      <c r="AI77" s="6" t="s">
        <v>131</v>
      </c>
      <c r="AJ77" s="6" t="s">
        <v>131</v>
      </c>
    </row>
    <row r="78" spans="1:36" s="2" customFormat="1" ht="61.5">
      <c r="A78" s="2">
        <v>1</v>
      </c>
      <c r="B78" s="17">
        <f>SUBTOTAL(103,$A$69:A78)</f>
        <v>6</v>
      </c>
      <c r="C78" s="3" t="s">
        <v>190</v>
      </c>
      <c r="D78" s="19" t="s">
        <v>203</v>
      </c>
      <c r="E78" s="20">
        <v>1.0043</v>
      </c>
      <c r="F78" s="5">
        <f t="shared" ref="F78:F80" si="30">G78+H78+I78+J78+K78+L78+N78+P78+R78+T78+V78+W78+X78+Y78+Z78+AA78+AB78+AC78+AD78+AE78+AF78+AG78</f>
        <v>1096190.8700000001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25">
        <v>0</v>
      </c>
      <c r="N78" s="5">
        <v>0</v>
      </c>
      <c r="O78" s="5">
        <v>206.34</v>
      </c>
      <c r="P78" s="5">
        <v>1079991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18">
        <f>ROUND(P78*1.5%,2)</f>
        <v>16199.87</v>
      </c>
      <c r="AF78" s="18">
        <v>0</v>
      </c>
      <c r="AG78" s="5">
        <v>0</v>
      </c>
      <c r="AH78" s="6" t="s">
        <v>49</v>
      </c>
      <c r="AI78" s="6">
        <v>2021</v>
      </c>
      <c r="AJ78" s="6">
        <v>2021</v>
      </c>
    </row>
    <row r="79" spans="1:36" s="2" customFormat="1" ht="61.5">
      <c r="A79" s="2">
        <v>1</v>
      </c>
      <c r="B79" s="17">
        <f>SUBTOTAL(103,$A$69:A79)</f>
        <v>7</v>
      </c>
      <c r="C79" s="3" t="s">
        <v>93</v>
      </c>
      <c r="D79" s="19" t="s">
        <v>203</v>
      </c>
      <c r="E79" s="20">
        <v>1.0185999999999999</v>
      </c>
      <c r="F79" s="5">
        <f t="shared" si="30"/>
        <v>2664800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25">
        <v>0</v>
      </c>
      <c r="N79" s="5">
        <v>0</v>
      </c>
      <c r="O79" s="5">
        <v>576</v>
      </c>
      <c r="P79" s="5">
        <v>2625418.7200000002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0</v>
      </c>
      <c r="AD79" s="5">
        <v>0</v>
      </c>
      <c r="AE79" s="18">
        <f>ROUND(P79*1.5%,2)</f>
        <v>39381.279999999999</v>
      </c>
      <c r="AF79" s="18">
        <v>0</v>
      </c>
      <c r="AG79" s="5">
        <v>0</v>
      </c>
      <c r="AH79" s="6" t="s">
        <v>49</v>
      </c>
      <c r="AI79" s="6">
        <v>2021</v>
      </c>
      <c r="AJ79" s="6">
        <v>2021</v>
      </c>
    </row>
    <row r="80" spans="1:36" s="2" customFormat="1" ht="61.5">
      <c r="A80" s="2">
        <v>1</v>
      </c>
      <c r="B80" s="17">
        <f>SUBTOTAL(103,$A$69:A80)</f>
        <v>8</v>
      </c>
      <c r="C80" s="3" t="s">
        <v>92</v>
      </c>
      <c r="D80" s="19" t="s">
        <v>203</v>
      </c>
      <c r="E80" s="20">
        <v>1.0064</v>
      </c>
      <c r="F80" s="5">
        <f t="shared" si="30"/>
        <v>2436000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25">
        <v>0</v>
      </c>
      <c r="N80" s="5">
        <v>0</v>
      </c>
      <c r="O80" s="5">
        <v>433</v>
      </c>
      <c r="P80" s="5">
        <v>2400000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18">
        <f>ROUND(P80*1.5%,2)</f>
        <v>36000</v>
      </c>
      <c r="AF80" s="18">
        <v>0</v>
      </c>
      <c r="AG80" s="5">
        <v>0</v>
      </c>
      <c r="AH80" s="6" t="s">
        <v>49</v>
      </c>
      <c r="AI80" s="6">
        <v>2021</v>
      </c>
      <c r="AJ80" s="6">
        <v>2021</v>
      </c>
    </row>
    <row r="81" spans="1:40" s="2" customFormat="1" ht="61.5">
      <c r="B81" s="21" t="s">
        <v>110</v>
      </c>
      <c r="C81" s="3"/>
      <c r="D81" s="19" t="s">
        <v>131</v>
      </c>
      <c r="E81" s="20">
        <f>AVERAGE(E82)</f>
        <v>1</v>
      </c>
      <c r="F81" s="5">
        <f>F82</f>
        <v>5538174.9500000002</v>
      </c>
      <c r="G81" s="5">
        <f t="shared" ref="G81:AG83" si="31">G82</f>
        <v>0</v>
      </c>
      <c r="H81" s="5">
        <f t="shared" si="31"/>
        <v>0</v>
      </c>
      <c r="I81" s="5">
        <f t="shared" si="31"/>
        <v>0</v>
      </c>
      <c r="J81" s="5">
        <f t="shared" si="31"/>
        <v>0</v>
      </c>
      <c r="K81" s="5">
        <f t="shared" si="31"/>
        <v>0</v>
      </c>
      <c r="L81" s="5">
        <f t="shared" si="31"/>
        <v>0</v>
      </c>
      <c r="M81" s="25">
        <f t="shared" si="31"/>
        <v>0</v>
      </c>
      <c r="N81" s="5">
        <f t="shared" si="31"/>
        <v>0</v>
      </c>
      <c r="O81" s="5">
        <f t="shared" si="31"/>
        <v>1034.83</v>
      </c>
      <c r="P81" s="5">
        <f t="shared" si="31"/>
        <v>5456330</v>
      </c>
      <c r="Q81" s="5">
        <f t="shared" si="31"/>
        <v>0</v>
      </c>
      <c r="R81" s="5">
        <f t="shared" si="31"/>
        <v>0</v>
      </c>
      <c r="S81" s="5">
        <f t="shared" si="31"/>
        <v>0</v>
      </c>
      <c r="T81" s="5">
        <f t="shared" si="31"/>
        <v>0</v>
      </c>
      <c r="U81" s="5">
        <f t="shared" si="31"/>
        <v>0</v>
      </c>
      <c r="V81" s="5">
        <f t="shared" si="31"/>
        <v>0</v>
      </c>
      <c r="W81" s="5">
        <f t="shared" si="31"/>
        <v>0</v>
      </c>
      <c r="X81" s="5">
        <f t="shared" si="31"/>
        <v>0</v>
      </c>
      <c r="Y81" s="5">
        <f t="shared" si="31"/>
        <v>0</v>
      </c>
      <c r="Z81" s="5">
        <f t="shared" si="31"/>
        <v>0</v>
      </c>
      <c r="AA81" s="5">
        <f t="shared" si="31"/>
        <v>0</v>
      </c>
      <c r="AB81" s="5">
        <f t="shared" si="31"/>
        <v>0</v>
      </c>
      <c r="AC81" s="5">
        <f t="shared" si="31"/>
        <v>0</v>
      </c>
      <c r="AD81" s="5">
        <f t="shared" si="31"/>
        <v>0</v>
      </c>
      <c r="AE81" s="18">
        <f t="shared" si="31"/>
        <v>81844.95</v>
      </c>
      <c r="AF81" s="18">
        <f t="shared" si="31"/>
        <v>0</v>
      </c>
      <c r="AG81" s="5">
        <f t="shared" si="31"/>
        <v>0</v>
      </c>
      <c r="AH81" s="6" t="s">
        <v>131</v>
      </c>
      <c r="AI81" s="6" t="s">
        <v>131</v>
      </c>
      <c r="AJ81" s="6" t="s">
        <v>131</v>
      </c>
    </row>
    <row r="82" spans="1:40" s="2" customFormat="1" ht="61.5">
      <c r="A82" s="2">
        <v>1</v>
      </c>
      <c r="B82" s="17">
        <f>SUBTOTAL(103,$A$69:A82)</f>
        <v>9</v>
      </c>
      <c r="C82" s="3" t="s">
        <v>192</v>
      </c>
      <c r="D82" s="19" t="s">
        <v>204</v>
      </c>
      <c r="E82" s="20">
        <v>1</v>
      </c>
      <c r="F82" s="5">
        <f t="shared" ref="F82" si="32">G82+H82+I82+J82+K82+L82+N82+P82+R82+T82+V82+W82+X82+Y82+Z82+AA82+AB82+AC82+AD82+AE82+AF82+AG82</f>
        <v>5538174.9500000002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25">
        <v>0</v>
      </c>
      <c r="N82" s="5">
        <v>0</v>
      </c>
      <c r="O82" s="5">
        <v>1034.83</v>
      </c>
      <c r="P82" s="5">
        <v>5456330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18">
        <f>ROUND(P82*1.5%,2)</f>
        <v>81844.95</v>
      </c>
      <c r="AF82" s="18">
        <v>0</v>
      </c>
      <c r="AG82" s="5">
        <v>0</v>
      </c>
      <c r="AH82" s="6" t="s">
        <v>49</v>
      </c>
      <c r="AI82" s="6">
        <v>2021</v>
      </c>
      <c r="AJ82" s="6">
        <v>2021</v>
      </c>
    </row>
    <row r="83" spans="1:40" s="2" customFormat="1" ht="61.5">
      <c r="B83" s="21" t="s">
        <v>396</v>
      </c>
      <c r="C83" s="3"/>
      <c r="D83" s="19" t="s">
        <v>131</v>
      </c>
      <c r="E83" s="20">
        <f>AVERAGE(E84)</f>
        <v>1.0524</v>
      </c>
      <c r="F83" s="5">
        <f>F84</f>
        <v>3672464.4</v>
      </c>
      <c r="G83" s="5">
        <f t="shared" si="31"/>
        <v>0</v>
      </c>
      <c r="H83" s="5">
        <f t="shared" si="31"/>
        <v>0</v>
      </c>
      <c r="I83" s="5">
        <f t="shared" si="31"/>
        <v>0</v>
      </c>
      <c r="J83" s="5">
        <f t="shared" si="31"/>
        <v>0</v>
      </c>
      <c r="K83" s="5">
        <f t="shared" si="31"/>
        <v>0</v>
      </c>
      <c r="L83" s="5">
        <f t="shared" si="31"/>
        <v>0</v>
      </c>
      <c r="M83" s="25">
        <f t="shared" si="31"/>
        <v>0</v>
      </c>
      <c r="N83" s="5">
        <f t="shared" si="31"/>
        <v>0</v>
      </c>
      <c r="O83" s="5">
        <f t="shared" si="31"/>
        <v>664.6</v>
      </c>
      <c r="P83" s="5">
        <f t="shared" si="31"/>
        <v>3470408.28</v>
      </c>
      <c r="Q83" s="5">
        <f t="shared" si="31"/>
        <v>0</v>
      </c>
      <c r="R83" s="5">
        <f t="shared" si="31"/>
        <v>0</v>
      </c>
      <c r="S83" s="5">
        <f t="shared" si="31"/>
        <v>0</v>
      </c>
      <c r="T83" s="5">
        <f t="shared" si="31"/>
        <v>0</v>
      </c>
      <c r="U83" s="5">
        <f t="shared" si="31"/>
        <v>0</v>
      </c>
      <c r="V83" s="5">
        <f t="shared" si="31"/>
        <v>0</v>
      </c>
      <c r="W83" s="5">
        <f t="shared" si="31"/>
        <v>0</v>
      </c>
      <c r="X83" s="5">
        <f t="shared" si="31"/>
        <v>0</v>
      </c>
      <c r="Y83" s="5">
        <f t="shared" si="31"/>
        <v>0</v>
      </c>
      <c r="Z83" s="5">
        <f t="shared" si="31"/>
        <v>0</v>
      </c>
      <c r="AA83" s="5">
        <f t="shared" si="31"/>
        <v>0</v>
      </c>
      <c r="AB83" s="5">
        <f t="shared" si="31"/>
        <v>0</v>
      </c>
      <c r="AC83" s="5">
        <f t="shared" si="31"/>
        <v>0</v>
      </c>
      <c r="AD83" s="5">
        <f t="shared" si="31"/>
        <v>0</v>
      </c>
      <c r="AE83" s="18">
        <f t="shared" si="31"/>
        <v>52056.12</v>
      </c>
      <c r="AF83" s="18">
        <f t="shared" si="31"/>
        <v>150000</v>
      </c>
      <c r="AG83" s="5">
        <f t="shared" si="31"/>
        <v>0</v>
      </c>
      <c r="AH83" s="6" t="s">
        <v>131</v>
      </c>
      <c r="AI83" s="6" t="s">
        <v>131</v>
      </c>
      <c r="AJ83" s="6" t="s">
        <v>131</v>
      </c>
    </row>
    <row r="84" spans="1:40" s="2" customFormat="1" ht="61.5">
      <c r="A84" s="2">
        <v>1</v>
      </c>
      <c r="B84" s="17">
        <f>SUBTOTAL(103,$A$69:A84)</f>
        <v>10</v>
      </c>
      <c r="C84" s="3" t="s">
        <v>395</v>
      </c>
      <c r="D84" s="19" t="s">
        <v>204</v>
      </c>
      <c r="E84" s="20">
        <v>1.0524</v>
      </c>
      <c r="F84" s="5">
        <f t="shared" ref="F84" si="33">G84+H84+I84+J84+K84+L84+N84+P84+R84+T84+V84+W84+X84+Y84+Z84+AA84+AB84+AC84+AD84+AE84+AF84+AG84</f>
        <v>3672464.4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25">
        <v>0</v>
      </c>
      <c r="N84" s="5">
        <v>0</v>
      </c>
      <c r="O84" s="5">
        <v>664.6</v>
      </c>
      <c r="P84" s="5">
        <v>3470408.28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18">
        <f>ROUND(P84*1.5%,2)</f>
        <v>52056.12</v>
      </c>
      <c r="AF84" s="36">
        <v>150000</v>
      </c>
      <c r="AG84" s="5">
        <v>0</v>
      </c>
      <c r="AH84" s="6">
        <v>2021</v>
      </c>
      <c r="AI84" s="6">
        <v>2021</v>
      </c>
      <c r="AJ84" s="6">
        <v>2021</v>
      </c>
    </row>
    <row r="85" spans="1:40" s="2" customFormat="1" ht="61.5">
      <c r="B85" s="21" t="s">
        <v>115</v>
      </c>
      <c r="C85" s="3"/>
      <c r="D85" s="19" t="s">
        <v>131</v>
      </c>
      <c r="E85" s="20">
        <f>AVERAGE(E86)</f>
        <v>1.008</v>
      </c>
      <c r="F85" s="5">
        <f>F86</f>
        <v>2030000</v>
      </c>
      <c r="G85" s="5">
        <f t="shared" ref="G85:AG85" si="34">G86</f>
        <v>0</v>
      </c>
      <c r="H85" s="5">
        <f t="shared" si="34"/>
        <v>0</v>
      </c>
      <c r="I85" s="5">
        <f t="shared" si="34"/>
        <v>0</v>
      </c>
      <c r="J85" s="5">
        <f t="shared" si="34"/>
        <v>0</v>
      </c>
      <c r="K85" s="5">
        <f t="shared" si="34"/>
        <v>0</v>
      </c>
      <c r="L85" s="5">
        <f t="shared" si="34"/>
        <v>0</v>
      </c>
      <c r="M85" s="25">
        <f t="shared" si="34"/>
        <v>0</v>
      </c>
      <c r="N85" s="5">
        <f t="shared" si="34"/>
        <v>0</v>
      </c>
      <c r="O85" s="5">
        <f t="shared" si="34"/>
        <v>352.5</v>
      </c>
      <c r="P85" s="5">
        <f t="shared" si="34"/>
        <v>2000000</v>
      </c>
      <c r="Q85" s="5">
        <f t="shared" si="34"/>
        <v>0</v>
      </c>
      <c r="R85" s="5">
        <f t="shared" si="34"/>
        <v>0</v>
      </c>
      <c r="S85" s="5">
        <f t="shared" si="34"/>
        <v>0</v>
      </c>
      <c r="T85" s="5">
        <f t="shared" si="34"/>
        <v>0</v>
      </c>
      <c r="U85" s="5">
        <f t="shared" si="34"/>
        <v>0</v>
      </c>
      <c r="V85" s="5">
        <f t="shared" si="34"/>
        <v>0</v>
      </c>
      <c r="W85" s="5">
        <f t="shared" si="34"/>
        <v>0</v>
      </c>
      <c r="X85" s="5">
        <f t="shared" si="34"/>
        <v>0</v>
      </c>
      <c r="Y85" s="5">
        <f t="shared" si="34"/>
        <v>0</v>
      </c>
      <c r="Z85" s="5">
        <f t="shared" si="34"/>
        <v>0</v>
      </c>
      <c r="AA85" s="5">
        <f t="shared" si="34"/>
        <v>0</v>
      </c>
      <c r="AB85" s="5">
        <f t="shared" si="34"/>
        <v>0</v>
      </c>
      <c r="AC85" s="5">
        <f t="shared" si="34"/>
        <v>0</v>
      </c>
      <c r="AD85" s="5">
        <f t="shared" si="34"/>
        <v>0</v>
      </c>
      <c r="AE85" s="18">
        <f t="shared" si="34"/>
        <v>30000</v>
      </c>
      <c r="AF85" s="18">
        <f t="shared" si="34"/>
        <v>0</v>
      </c>
      <c r="AG85" s="5">
        <f t="shared" si="34"/>
        <v>0</v>
      </c>
      <c r="AH85" s="6" t="s">
        <v>131</v>
      </c>
      <c r="AI85" s="6" t="s">
        <v>131</v>
      </c>
      <c r="AJ85" s="6" t="s">
        <v>131</v>
      </c>
    </row>
    <row r="86" spans="1:40" s="2" customFormat="1" ht="61.5">
      <c r="A86" s="2">
        <v>1</v>
      </c>
      <c r="B86" s="17">
        <f>SUBTOTAL(103,$A$69:A86)</f>
        <v>11</v>
      </c>
      <c r="C86" s="3" t="s">
        <v>196</v>
      </c>
      <c r="D86" s="19" t="s">
        <v>202</v>
      </c>
      <c r="E86" s="20">
        <v>1.008</v>
      </c>
      <c r="F86" s="5">
        <f t="shared" ref="F86" si="35">G86+H86+I86+J86+K86+L86+N86+P86+R86+T86+V86+W86+X86+Y86+Z86+AA86+AB86+AC86+AD86+AE86+AF86+AG86</f>
        <v>2030000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25">
        <v>0</v>
      </c>
      <c r="N86" s="5">
        <v>0</v>
      </c>
      <c r="O86" s="5">
        <v>352.5</v>
      </c>
      <c r="P86" s="5">
        <v>2000000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18">
        <f>ROUND(P86*1.5%,2)</f>
        <v>30000</v>
      </c>
      <c r="AF86" s="18">
        <v>0</v>
      </c>
      <c r="AG86" s="5">
        <v>0</v>
      </c>
      <c r="AH86" s="6" t="s">
        <v>49</v>
      </c>
      <c r="AI86" s="6">
        <v>2021</v>
      </c>
      <c r="AJ86" s="6">
        <v>2021</v>
      </c>
    </row>
    <row r="87" spans="1:40" s="2" customFormat="1" ht="61.5">
      <c r="B87" s="21" t="s">
        <v>106</v>
      </c>
      <c r="C87" s="3"/>
      <c r="D87" s="19" t="s">
        <v>131</v>
      </c>
      <c r="E87" s="20">
        <f>E88</f>
        <v>1.009761876417796</v>
      </c>
      <c r="F87" s="5">
        <f>F88</f>
        <v>3628625</v>
      </c>
      <c r="G87" s="5">
        <f t="shared" ref="G87:AG87" si="36">G88</f>
        <v>0</v>
      </c>
      <c r="H87" s="5">
        <f t="shared" si="36"/>
        <v>0</v>
      </c>
      <c r="I87" s="5">
        <f t="shared" si="36"/>
        <v>0</v>
      </c>
      <c r="J87" s="5">
        <f t="shared" si="36"/>
        <v>0</v>
      </c>
      <c r="K87" s="5">
        <f t="shared" si="36"/>
        <v>0</v>
      </c>
      <c r="L87" s="5">
        <f t="shared" si="36"/>
        <v>0</v>
      </c>
      <c r="M87" s="25">
        <f t="shared" si="36"/>
        <v>0</v>
      </c>
      <c r="N87" s="5">
        <f t="shared" si="36"/>
        <v>0</v>
      </c>
      <c r="O87" s="5">
        <f t="shared" si="36"/>
        <v>715</v>
      </c>
      <c r="P87" s="5">
        <f t="shared" si="36"/>
        <v>3575000</v>
      </c>
      <c r="Q87" s="5">
        <f t="shared" si="36"/>
        <v>0</v>
      </c>
      <c r="R87" s="5">
        <f t="shared" si="36"/>
        <v>0</v>
      </c>
      <c r="S87" s="5">
        <f t="shared" si="36"/>
        <v>0</v>
      </c>
      <c r="T87" s="5">
        <f t="shared" si="36"/>
        <v>0</v>
      </c>
      <c r="U87" s="5">
        <f t="shared" si="36"/>
        <v>0</v>
      </c>
      <c r="V87" s="5">
        <f t="shared" si="36"/>
        <v>0</v>
      </c>
      <c r="W87" s="5">
        <f t="shared" si="36"/>
        <v>0</v>
      </c>
      <c r="X87" s="5">
        <f t="shared" si="36"/>
        <v>0</v>
      </c>
      <c r="Y87" s="5">
        <f t="shared" si="36"/>
        <v>0</v>
      </c>
      <c r="Z87" s="5">
        <f t="shared" si="36"/>
        <v>0</v>
      </c>
      <c r="AA87" s="5">
        <f t="shared" si="36"/>
        <v>0</v>
      </c>
      <c r="AB87" s="5">
        <f t="shared" si="36"/>
        <v>0</v>
      </c>
      <c r="AC87" s="5">
        <f t="shared" si="36"/>
        <v>0</v>
      </c>
      <c r="AD87" s="5">
        <f t="shared" si="36"/>
        <v>0</v>
      </c>
      <c r="AE87" s="5">
        <f t="shared" si="36"/>
        <v>53625</v>
      </c>
      <c r="AF87" s="5">
        <f t="shared" si="36"/>
        <v>0</v>
      </c>
      <c r="AG87" s="5">
        <f t="shared" si="36"/>
        <v>0</v>
      </c>
      <c r="AH87" s="6" t="s">
        <v>131</v>
      </c>
      <c r="AI87" s="6" t="s">
        <v>131</v>
      </c>
      <c r="AJ87" s="6" t="s">
        <v>131</v>
      </c>
    </row>
    <row r="88" spans="1:40" s="2" customFormat="1" ht="61.5">
      <c r="A88" s="2">
        <v>1</v>
      </c>
      <c r="B88" s="17">
        <f>SUBTOTAL(103,$A$69:A88)</f>
        <v>12</v>
      </c>
      <c r="C88" s="3" t="s">
        <v>255</v>
      </c>
      <c r="D88" s="19" t="s">
        <v>206</v>
      </c>
      <c r="E88" s="20">
        <v>1.009761876417796</v>
      </c>
      <c r="F88" s="5">
        <f t="shared" ref="F88" si="37">G88+H88+I88+J88+K88+L88+N88+P88+R88+T88+V88+W88+X88+Y88+Z88+AA88+AB88+AC88+AD88+AE88+AF88+AG88</f>
        <v>3628625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25">
        <v>0</v>
      </c>
      <c r="N88" s="5">
        <v>0</v>
      </c>
      <c r="O88" s="5">
        <v>715</v>
      </c>
      <c r="P88" s="5">
        <v>3575000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f>ROUND(P88*1.5%,2)</f>
        <v>53625</v>
      </c>
      <c r="AF88" s="18">
        <v>0</v>
      </c>
      <c r="AG88" s="5">
        <v>0</v>
      </c>
      <c r="AH88" s="6" t="s">
        <v>49</v>
      </c>
      <c r="AI88" s="6">
        <v>2021</v>
      </c>
      <c r="AJ88" s="6">
        <v>2021</v>
      </c>
    </row>
    <row r="89" spans="1:40" ht="61.5">
      <c r="B89" s="144" t="s">
        <v>257</v>
      </c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144"/>
      <c r="AH89" s="144"/>
      <c r="AI89" s="144"/>
      <c r="AJ89" s="144"/>
    </row>
    <row r="90" spans="1:40" ht="61.5">
      <c r="B90" s="151" t="s">
        <v>213</v>
      </c>
      <c r="C90" s="152"/>
      <c r="D90" s="97" t="s">
        <v>131</v>
      </c>
      <c r="E90" s="20">
        <v>0.89549999999999996</v>
      </c>
      <c r="F90" s="5">
        <f t="shared" ref="F90:AG90" si="38">F91+F100+F104+F121+F129+F134+F161+F177+F184+F187+F190+F192+F198+F200+F203+F206+F210+F212+F214+F216+F221+F223+F225+F227+F229+F231+F233+F236+F238+F242+F240</f>
        <v>44427726.450000018</v>
      </c>
      <c r="G90" s="5">
        <f t="shared" si="38"/>
        <v>0</v>
      </c>
      <c r="H90" s="5">
        <f t="shared" si="38"/>
        <v>0</v>
      </c>
      <c r="I90" s="5">
        <f t="shared" si="38"/>
        <v>28692</v>
      </c>
      <c r="J90" s="5">
        <f t="shared" si="38"/>
        <v>0</v>
      </c>
      <c r="K90" s="5">
        <f t="shared" si="38"/>
        <v>262873</v>
      </c>
      <c r="L90" s="5">
        <f t="shared" si="38"/>
        <v>0</v>
      </c>
      <c r="M90" s="5">
        <f t="shared" si="38"/>
        <v>0</v>
      </c>
      <c r="N90" s="5">
        <f t="shared" si="38"/>
        <v>0</v>
      </c>
      <c r="O90" s="5">
        <f t="shared" si="38"/>
        <v>87387.11</v>
      </c>
      <c r="P90" s="5">
        <f t="shared" si="38"/>
        <v>41324342.099999994</v>
      </c>
      <c r="Q90" s="5">
        <f t="shared" si="38"/>
        <v>0</v>
      </c>
      <c r="R90" s="5">
        <f t="shared" si="38"/>
        <v>0</v>
      </c>
      <c r="S90" s="5">
        <f t="shared" si="38"/>
        <v>7478.24</v>
      </c>
      <c r="T90" s="5">
        <f t="shared" si="38"/>
        <v>1670780.8299999998</v>
      </c>
      <c r="U90" s="5">
        <f t="shared" si="38"/>
        <v>143.80000000000001</v>
      </c>
      <c r="V90" s="5">
        <f t="shared" si="38"/>
        <v>109992</v>
      </c>
      <c r="W90" s="5">
        <f t="shared" si="38"/>
        <v>0</v>
      </c>
      <c r="X90" s="5">
        <f t="shared" si="38"/>
        <v>407238.37</v>
      </c>
      <c r="Y90" s="5">
        <f t="shared" si="38"/>
        <v>0</v>
      </c>
      <c r="Z90" s="5">
        <f t="shared" si="38"/>
        <v>0</v>
      </c>
      <c r="AA90" s="5">
        <f t="shared" si="38"/>
        <v>0</v>
      </c>
      <c r="AB90" s="5">
        <f t="shared" si="38"/>
        <v>0</v>
      </c>
      <c r="AC90" s="5">
        <f t="shared" si="38"/>
        <v>0</v>
      </c>
      <c r="AD90" s="5">
        <f t="shared" si="38"/>
        <v>0</v>
      </c>
      <c r="AE90" s="5">
        <f t="shared" si="38"/>
        <v>623808.15000000014</v>
      </c>
      <c r="AF90" s="5">
        <f t="shared" si="38"/>
        <v>0</v>
      </c>
      <c r="AG90" s="5">
        <f t="shared" si="38"/>
        <v>0</v>
      </c>
      <c r="AH90" s="66" t="s">
        <v>131</v>
      </c>
      <c r="AI90" s="66" t="s">
        <v>131</v>
      </c>
      <c r="AJ90" s="66" t="s">
        <v>131</v>
      </c>
    </row>
    <row r="91" spans="1:40" ht="62.25">
      <c r="B91" s="68" t="s">
        <v>96</v>
      </c>
      <c r="C91" s="69"/>
      <c r="D91" s="65" t="s">
        <v>131</v>
      </c>
      <c r="E91" s="20">
        <f>AVERAGE(E92:E97)</f>
        <v>0.82381693240432963</v>
      </c>
      <c r="F91" s="5">
        <f>SUM(F92:F97)</f>
        <v>3081201.1499999994</v>
      </c>
      <c r="G91" s="5">
        <f t="shared" ref="G91:AG91" si="39">SUM(G92:G97)</f>
        <v>0</v>
      </c>
      <c r="H91" s="5">
        <f t="shared" si="39"/>
        <v>0</v>
      </c>
      <c r="I91" s="5">
        <f t="shared" si="39"/>
        <v>0</v>
      </c>
      <c r="J91" s="5">
        <f t="shared" si="39"/>
        <v>0</v>
      </c>
      <c r="K91" s="5">
        <f t="shared" si="39"/>
        <v>0</v>
      </c>
      <c r="L91" s="5">
        <f t="shared" si="39"/>
        <v>0</v>
      </c>
      <c r="M91" s="24">
        <f t="shared" si="39"/>
        <v>0</v>
      </c>
      <c r="N91" s="5">
        <f t="shared" si="39"/>
        <v>0</v>
      </c>
      <c r="O91" s="5">
        <f t="shared" si="39"/>
        <v>4824.3</v>
      </c>
      <c r="P91" s="5">
        <f t="shared" si="39"/>
        <v>2698471.5</v>
      </c>
      <c r="Q91" s="5">
        <f t="shared" si="39"/>
        <v>0</v>
      </c>
      <c r="R91" s="5">
        <f t="shared" si="39"/>
        <v>0</v>
      </c>
      <c r="S91" s="5">
        <f t="shared" si="39"/>
        <v>0</v>
      </c>
      <c r="T91" s="5">
        <f t="shared" si="39"/>
        <v>0</v>
      </c>
      <c r="U91" s="5">
        <f t="shared" si="39"/>
        <v>0</v>
      </c>
      <c r="V91" s="5">
        <f t="shared" si="39"/>
        <v>0</v>
      </c>
      <c r="W91" s="5">
        <f t="shared" si="39"/>
        <v>0</v>
      </c>
      <c r="X91" s="5">
        <f t="shared" si="39"/>
        <v>337240.37</v>
      </c>
      <c r="Y91" s="5">
        <f t="shared" si="39"/>
        <v>0</v>
      </c>
      <c r="Z91" s="5">
        <f t="shared" si="39"/>
        <v>0</v>
      </c>
      <c r="AA91" s="5">
        <f t="shared" si="39"/>
        <v>0</v>
      </c>
      <c r="AB91" s="5">
        <f t="shared" si="39"/>
        <v>0</v>
      </c>
      <c r="AC91" s="5">
        <f t="shared" si="39"/>
        <v>0</v>
      </c>
      <c r="AD91" s="5">
        <f t="shared" si="39"/>
        <v>0</v>
      </c>
      <c r="AE91" s="5">
        <f t="shared" si="39"/>
        <v>45489.279999999999</v>
      </c>
      <c r="AF91" s="5">
        <f t="shared" si="39"/>
        <v>0</v>
      </c>
      <c r="AG91" s="5">
        <f t="shared" si="39"/>
        <v>0</v>
      </c>
      <c r="AH91" s="66" t="s">
        <v>131</v>
      </c>
      <c r="AI91" s="66" t="s">
        <v>131</v>
      </c>
      <c r="AJ91" s="66" t="s">
        <v>131</v>
      </c>
    </row>
    <row r="92" spans="1:40" ht="62.25">
      <c r="A92" s="1">
        <v>1</v>
      </c>
      <c r="B92" s="17">
        <f>SUBTOTAL(103,$A$92:A92)</f>
        <v>1</v>
      </c>
      <c r="C92" s="64" t="s">
        <v>82</v>
      </c>
      <c r="D92" s="22" t="s">
        <v>553</v>
      </c>
      <c r="E92" s="20">
        <v>0.68103653271030484</v>
      </c>
      <c r="F92" s="5">
        <f t="shared" ref="F92:F185" si="40">G92+H92+I92+J92+K92+L92+N92+P92+R92+T92+V92+W92+X92+Y92+Z92+AA92+AB92+AC92+AD92+AE92+AF92+AG92</f>
        <v>546562.15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24">
        <v>0</v>
      </c>
      <c r="N92" s="5">
        <v>0</v>
      </c>
      <c r="O92" s="5">
        <v>851.8</v>
      </c>
      <c r="P92" s="5">
        <v>538524.67000000004</v>
      </c>
      <c r="Q92" s="5">
        <v>0</v>
      </c>
      <c r="R92" s="5">
        <v>0</v>
      </c>
      <c r="S92" s="5">
        <v>0</v>
      </c>
      <c r="T92" s="67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8037.48</v>
      </c>
      <c r="AF92" s="5">
        <v>0</v>
      </c>
      <c r="AG92" s="5">
        <v>0</v>
      </c>
      <c r="AH92" s="66" t="s">
        <v>49</v>
      </c>
      <c r="AI92" s="66">
        <v>2020</v>
      </c>
      <c r="AJ92" s="66">
        <v>2020</v>
      </c>
      <c r="AK92" s="15"/>
      <c r="AL92" s="15"/>
      <c r="AM92" s="15"/>
      <c r="AN92" s="15"/>
    </row>
    <row r="93" spans="1:40" ht="62.25">
      <c r="A93" s="1">
        <v>1</v>
      </c>
      <c r="B93" s="17">
        <f>SUBTOTAL(103,$A$92:A93)</f>
        <v>2</v>
      </c>
      <c r="C93" s="64" t="s">
        <v>261</v>
      </c>
      <c r="D93" s="22" t="s">
        <v>553</v>
      </c>
      <c r="E93" s="20">
        <v>0.76770000000000005</v>
      </c>
      <c r="F93" s="5">
        <f t="shared" si="40"/>
        <v>491284.57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24">
        <v>0</v>
      </c>
      <c r="N93" s="5">
        <v>0</v>
      </c>
      <c r="O93" s="5">
        <v>901.5</v>
      </c>
      <c r="P93" s="5">
        <v>484024.21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f>ROUND(P93*1.5%,2)</f>
        <v>7260.36</v>
      </c>
      <c r="AF93" s="5">
        <v>0</v>
      </c>
      <c r="AG93" s="5">
        <v>0</v>
      </c>
      <c r="AH93" s="66" t="s">
        <v>49</v>
      </c>
      <c r="AI93" s="66">
        <v>2020</v>
      </c>
      <c r="AJ93" s="66">
        <v>2020</v>
      </c>
      <c r="AK93" s="15"/>
      <c r="AL93" s="15"/>
      <c r="AM93" s="15"/>
      <c r="AN93" s="15"/>
    </row>
    <row r="94" spans="1:40" ht="62.25">
      <c r="A94" s="1">
        <v>1</v>
      </c>
      <c r="B94" s="17">
        <f>SUBTOTAL(103,$A$92:A94)</f>
        <v>3</v>
      </c>
      <c r="C94" s="64" t="s">
        <v>262</v>
      </c>
      <c r="D94" s="22" t="s">
        <v>553</v>
      </c>
      <c r="E94" s="20">
        <v>0.87790000000000001</v>
      </c>
      <c r="F94" s="5">
        <f t="shared" si="40"/>
        <v>1439828.96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  <c r="M94" s="24">
        <v>0</v>
      </c>
      <c r="N94" s="5">
        <v>0</v>
      </c>
      <c r="O94" s="5">
        <v>811</v>
      </c>
      <c r="P94" s="5">
        <v>1418550.7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f>ROUND(P94*1.5%,2)</f>
        <v>21278.26</v>
      </c>
      <c r="AF94" s="5">
        <v>0</v>
      </c>
      <c r="AG94" s="5">
        <v>0</v>
      </c>
      <c r="AH94" s="66" t="s">
        <v>49</v>
      </c>
      <c r="AI94" s="66">
        <v>2020</v>
      </c>
      <c r="AJ94" s="66">
        <v>2020</v>
      </c>
      <c r="AK94" s="15"/>
      <c r="AL94" s="15"/>
      <c r="AM94" s="15"/>
      <c r="AN94" s="15"/>
    </row>
    <row r="95" spans="1:40" ht="62.25">
      <c r="A95" s="1">
        <v>1</v>
      </c>
      <c r="B95" s="17">
        <f>SUBTOTAL(103,$A$92:A95)</f>
        <v>4</v>
      </c>
      <c r="C95" s="64" t="s">
        <v>263</v>
      </c>
      <c r="D95" s="26" t="s">
        <v>553</v>
      </c>
      <c r="E95" s="20">
        <v>0.74686506171567224</v>
      </c>
      <c r="F95" s="5">
        <f t="shared" si="40"/>
        <v>342298.98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24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67">
        <v>0</v>
      </c>
      <c r="U95" s="5">
        <v>0</v>
      </c>
      <c r="V95" s="5">
        <v>0</v>
      </c>
      <c r="W95" s="5">
        <v>0</v>
      </c>
      <c r="X95" s="5">
        <v>337240.37</v>
      </c>
      <c r="Y95" s="5">
        <v>0</v>
      </c>
      <c r="Z95" s="5">
        <v>0</v>
      </c>
      <c r="AA95" s="5">
        <v>0</v>
      </c>
      <c r="AB95" s="5">
        <v>0</v>
      </c>
      <c r="AC95" s="5">
        <v>0</v>
      </c>
      <c r="AD95" s="5">
        <v>0</v>
      </c>
      <c r="AE95" s="5">
        <f>ROUND(X95*1.5%,2)</f>
        <v>5058.6099999999997</v>
      </c>
      <c r="AF95" s="5">
        <v>0</v>
      </c>
      <c r="AG95" s="5">
        <v>0</v>
      </c>
      <c r="AH95" s="66" t="s">
        <v>49</v>
      </c>
      <c r="AI95" s="6">
        <v>2021</v>
      </c>
      <c r="AJ95" s="6">
        <v>2021</v>
      </c>
      <c r="AK95" s="15"/>
      <c r="AL95" s="15"/>
      <c r="AM95" s="15"/>
      <c r="AN95" s="15"/>
    </row>
    <row r="96" spans="1:40" ht="62.25">
      <c r="A96" s="1">
        <v>1</v>
      </c>
      <c r="B96" s="17">
        <f>SUBTOTAL(103,$A$92:A96)</f>
        <v>5</v>
      </c>
      <c r="C96" s="64" t="s">
        <v>264</v>
      </c>
      <c r="D96" s="22" t="s">
        <v>554</v>
      </c>
      <c r="E96" s="20">
        <v>0.94499999999999995</v>
      </c>
      <c r="F96" s="5">
        <f t="shared" si="40"/>
        <v>179920.82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24">
        <v>0</v>
      </c>
      <c r="N96" s="5">
        <v>0</v>
      </c>
      <c r="O96" s="5">
        <v>1160</v>
      </c>
      <c r="P96" s="5">
        <v>177261.89</v>
      </c>
      <c r="Q96" s="5">
        <v>0</v>
      </c>
      <c r="R96" s="5">
        <v>0</v>
      </c>
      <c r="S96" s="5">
        <v>0</v>
      </c>
      <c r="T96" s="67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f>ROUND(P96*1.5%,2)</f>
        <v>2658.93</v>
      </c>
      <c r="AF96" s="5">
        <v>0</v>
      </c>
      <c r="AG96" s="5">
        <v>0</v>
      </c>
      <c r="AH96" s="66" t="s">
        <v>49</v>
      </c>
      <c r="AI96" s="66">
        <v>2020</v>
      </c>
      <c r="AJ96" s="66">
        <v>2020</v>
      </c>
      <c r="AK96" s="15"/>
      <c r="AL96" s="15"/>
      <c r="AM96" s="15"/>
      <c r="AN96" s="15"/>
    </row>
    <row r="97" spans="1:40" ht="62.25">
      <c r="A97" s="1">
        <v>1</v>
      </c>
      <c r="B97" s="17">
        <f>SUBTOTAL(103,$A$92:A97)</f>
        <v>6</v>
      </c>
      <c r="C97" s="64" t="s">
        <v>265</v>
      </c>
      <c r="D97" s="22" t="s">
        <v>554</v>
      </c>
      <c r="E97" s="20">
        <v>0.9244</v>
      </c>
      <c r="F97" s="5">
        <f t="shared" si="40"/>
        <v>81305.67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24">
        <v>0</v>
      </c>
      <c r="N97" s="5">
        <v>0</v>
      </c>
      <c r="O97" s="5">
        <v>1100</v>
      </c>
      <c r="P97" s="5">
        <v>80110.03</v>
      </c>
      <c r="Q97" s="5">
        <v>0</v>
      </c>
      <c r="R97" s="5">
        <v>0</v>
      </c>
      <c r="S97" s="5">
        <v>0</v>
      </c>
      <c r="T97" s="67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1195.6400000000001</v>
      </c>
      <c r="AF97" s="5">
        <v>0</v>
      </c>
      <c r="AG97" s="5">
        <v>0</v>
      </c>
      <c r="AH97" s="66" t="s">
        <v>49</v>
      </c>
      <c r="AI97" s="66">
        <v>2020</v>
      </c>
      <c r="AJ97" s="66">
        <v>2020</v>
      </c>
      <c r="AK97" s="15"/>
      <c r="AL97" s="15"/>
      <c r="AM97" s="15"/>
      <c r="AN97" s="15"/>
    </row>
    <row r="98" spans="1:40" ht="62.25">
      <c r="B98" s="68" t="s">
        <v>97</v>
      </c>
      <c r="C98" s="69"/>
      <c r="D98" s="65" t="s">
        <v>131</v>
      </c>
      <c r="E98" s="20">
        <f t="shared" ref="E98:N98" si="41">E99</f>
        <v>0.88649999999999995</v>
      </c>
      <c r="F98" s="5">
        <f t="shared" si="41"/>
        <v>418959.01</v>
      </c>
      <c r="G98" s="5">
        <f t="shared" si="41"/>
        <v>0</v>
      </c>
      <c r="H98" s="5">
        <f t="shared" si="41"/>
        <v>0</v>
      </c>
      <c r="I98" s="5">
        <f t="shared" si="41"/>
        <v>0</v>
      </c>
      <c r="J98" s="5">
        <f t="shared" si="41"/>
        <v>0</v>
      </c>
      <c r="K98" s="5">
        <f t="shared" si="41"/>
        <v>0</v>
      </c>
      <c r="L98" s="5">
        <f t="shared" si="41"/>
        <v>0</v>
      </c>
      <c r="M98" s="24">
        <f t="shared" si="41"/>
        <v>0</v>
      </c>
      <c r="N98" s="5">
        <f t="shared" si="41"/>
        <v>0</v>
      </c>
      <c r="O98" s="5">
        <f>O99</f>
        <v>819.7</v>
      </c>
      <c r="P98" s="5">
        <f t="shared" ref="P98:AG98" si="42">P99</f>
        <v>412767.5</v>
      </c>
      <c r="Q98" s="5">
        <f t="shared" si="42"/>
        <v>0</v>
      </c>
      <c r="R98" s="5">
        <f t="shared" si="42"/>
        <v>0</v>
      </c>
      <c r="S98" s="5">
        <f t="shared" si="42"/>
        <v>0</v>
      </c>
      <c r="T98" s="5">
        <f t="shared" si="42"/>
        <v>0</v>
      </c>
      <c r="U98" s="5">
        <f t="shared" si="42"/>
        <v>0</v>
      </c>
      <c r="V98" s="5">
        <f t="shared" si="42"/>
        <v>0</v>
      </c>
      <c r="W98" s="5">
        <f t="shared" si="42"/>
        <v>0</v>
      </c>
      <c r="X98" s="5">
        <f t="shared" si="42"/>
        <v>0</v>
      </c>
      <c r="Y98" s="5">
        <f t="shared" si="42"/>
        <v>0</v>
      </c>
      <c r="Z98" s="5">
        <f t="shared" si="42"/>
        <v>0</v>
      </c>
      <c r="AA98" s="5">
        <f t="shared" si="42"/>
        <v>0</v>
      </c>
      <c r="AB98" s="5">
        <f t="shared" si="42"/>
        <v>0</v>
      </c>
      <c r="AC98" s="5">
        <f t="shared" si="42"/>
        <v>0</v>
      </c>
      <c r="AD98" s="5">
        <f t="shared" si="42"/>
        <v>0</v>
      </c>
      <c r="AE98" s="5">
        <f t="shared" si="42"/>
        <v>6191.51</v>
      </c>
      <c r="AF98" s="5">
        <f t="shared" si="42"/>
        <v>0</v>
      </c>
      <c r="AG98" s="5">
        <f t="shared" si="42"/>
        <v>0</v>
      </c>
      <c r="AH98" s="66" t="s">
        <v>131</v>
      </c>
      <c r="AI98" s="66" t="s">
        <v>131</v>
      </c>
      <c r="AJ98" s="66" t="s">
        <v>131</v>
      </c>
    </row>
    <row r="99" spans="1:40" ht="62.25">
      <c r="A99" s="1">
        <v>1</v>
      </c>
      <c r="B99" s="17">
        <f>SUBTOTAL(103,$A$92:A99)</f>
        <v>7</v>
      </c>
      <c r="C99" s="64" t="s">
        <v>578</v>
      </c>
      <c r="D99" s="22">
        <v>2016</v>
      </c>
      <c r="E99" s="20">
        <v>0.88649999999999995</v>
      </c>
      <c r="F99" s="5">
        <f t="shared" ref="F99" si="43">G99+H99+I99+J99+K99+L99+N99+P99+R99+T99+V99+W99+X99+Y99+Z99+AA99+AB99+AC99+AD99+AE99+AF99+AG99</f>
        <v>418959.01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24">
        <v>0</v>
      </c>
      <c r="N99" s="5">
        <v>0</v>
      </c>
      <c r="O99" s="5">
        <v>819.7</v>
      </c>
      <c r="P99" s="5">
        <v>412767.5</v>
      </c>
      <c r="Q99" s="5">
        <v>0</v>
      </c>
      <c r="R99" s="5">
        <v>0</v>
      </c>
      <c r="S99" s="5">
        <v>0</v>
      </c>
      <c r="T99" s="67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f>ROUND(P99*1.5%,2)</f>
        <v>6191.51</v>
      </c>
      <c r="AF99" s="5">
        <v>0</v>
      </c>
      <c r="AG99" s="5">
        <v>0</v>
      </c>
      <c r="AH99" s="66" t="s">
        <v>49</v>
      </c>
      <c r="AI99" s="66">
        <v>2021</v>
      </c>
      <c r="AJ99" s="66">
        <v>2021</v>
      </c>
      <c r="AK99" s="15"/>
      <c r="AL99" s="15"/>
      <c r="AM99" s="15"/>
      <c r="AN99" s="15"/>
    </row>
    <row r="100" spans="1:40" ht="62.25">
      <c r="B100" s="68" t="s">
        <v>98</v>
      </c>
      <c r="C100" s="69"/>
      <c r="D100" s="65" t="s">
        <v>131</v>
      </c>
      <c r="E100" s="20">
        <f>AVERAGE(E101:E103)</f>
        <v>0.94748668819388027</v>
      </c>
      <c r="F100" s="5">
        <f>F101+F102+F103</f>
        <v>34418.18</v>
      </c>
      <c r="G100" s="5">
        <f t="shared" ref="G100:AG100" si="44">G101+G102+G103</f>
        <v>0</v>
      </c>
      <c r="H100" s="5">
        <f t="shared" si="44"/>
        <v>0</v>
      </c>
      <c r="I100" s="5">
        <f t="shared" si="44"/>
        <v>0</v>
      </c>
      <c r="J100" s="5">
        <f t="shared" si="44"/>
        <v>0</v>
      </c>
      <c r="K100" s="5">
        <f t="shared" si="44"/>
        <v>0</v>
      </c>
      <c r="L100" s="5">
        <f t="shared" si="44"/>
        <v>0</v>
      </c>
      <c r="M100" s="5">
        <f t="shared" si="44"/>
        <v>0</v>
      </c>
      <c r="N100" s="5">
        <f t="shared" si="44"/>
        <v>0</v>
      </c>
      <c r="O100" s="5">
        <f t="shared" si="44"/>
        <v>2012</v>
      </c>
      <c r="P100" s="5">
        <f t="shared" si="44"/>
        <v>34004.050000000003</v>
      </c>
      <c r="Q100" s="5">
        <f t="shared" si="44"/>
        <v>0</v>
      </c>
      <c r="R100" s="5">
        <f t="shared" si="44"/>
        <v>0</v>
      </c>
      <c r="S100" s="5">
        <f t="shared" si="44"/>
        <v>0</v>
      </c>
      <c r="T100" s="5">
        <f t="shared" si="44"/>
        <v>0</v>
      </c>
      <c r="U100" s="5">
        <f t="shared" si="44"/>
        <v>0</v>
      </c>
      <c r="V100" s="5">
        <f t="shared" si="44"/>
        <v>0</v>
      </c>
      <c r="W100" s="5">
        <f t="shared" si="44"/>
        <v>0</v>
      </c>
      <c r="X100" s="5">
        <f t="shared" si="44"/>
        <v>0</v>
      </c>
      <c r="Y100" s="5">
        <f t="shared" si="44"/>
        <v>0</v>
      </c>
      <c r="Z100" s="5">
        <f t="shared" si="44"/>
        <v>0</v>
      </c>
      <c r="AA100" s="5">
        <f t="shared" si="44"/>
        <v>0</v>
      </c>
      <c r="AB100" s="5">
        <f t="shared" si="44"/>
        <v>0</v>
      </c>
      <c r="AC100" s="5">
        <f t="shared" si="44"/>
        <v>0</v>
      </c>
      <c r="AD100" s="5">
        <f t="shared" si="44"/>
        <v>0</v>
      </c>
      <c r="AE100" s="5">
        <f t="shared" si="44"/>
        <v>414.13</v>
      </c>
      <c r="AF100" s="5">
        <f t="shared" si="44"/>
        <v>0</v>
      </c>
      <c r="AG100" s="5">
        <f t="shared" si="44"/>
        <v>0</v>
      </c>
      <c r="AH100" s="66" t="s">
        <v>131</v>
      </c>
      <c r="AI100" s="66" t="s">
        <v>131</v>
      </c>
      <c r="AJ100" s="66" t="s">
        <v>131</v>
      </c>
      <c r="AK100" s="15"/>
      <c r="AL100" s="15"/>
      <c r="AM100" s="15"/>
      <c r="AN100" s="15"/>
    </row>
    <row r="101" spans="1:40" ht="62.25">
      <c r="A101" s="1">
        <v>1</v>
      </c>
      <c r="B101" s="17">
        <f>SUBTOTAL(103,$A$92:A101)</f>
        <v>8</v>
      </c>
      <c r="C101" s="64" t="s">
        <v>266</v>
      </c>
      <c r="D101" s="22" t="s">
        <v>554</v>
      </c>
      <c r="E101" s="20">
        <v>0.95197013899993665</v>
      </c>
      <c r="F101" s="5">
        <f t="shared" si="40"/>
        <v>11221.62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24">
        <v>0</v>
      </c>
      <c r="N101" s="5">
        <v>0</v>
      </c>
      <c r="O101" s="5">
        <v>924</v>
      </c>
      <c r="P101" s="5">
        <v>11055.78</v>
      </c>
      <c r="Q101" s="5">
        <v>0</v>
      </c>
      <c r="R101" s="5">
        <v>0</v>
      </c>
      <c r="S101" s="5">
        <v>0</v>
      </c>
      <c r="T101" s="67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  <c r="AB101" s="5">
        <v>0</v>
      </c>
      <c r="AC101" s="5">
        <v>0</v>
      </c>
      <c r="AD101" s="5">
        <v>0</v>
      </c>
      <c r="AE101" s="5">
        <f>ROUND(P101*1.5%,2)</f>
        <v>165.84</v>
      </c>
      <c r="AF101" s="5">
        <v>0</v>
      </c>
      <c r="AG101" s="5">
        <v>0</v>
      </c>
      <c r="AH101" s="66" t="s">
        <v>49</v>
      </c>
      <c r="AI101" s="66">
        <v>2020</v>
      </c>
      <c r="AJ101" s="66">
        <v>2020</v>
      </c>
      <c r="AK101" s="15"/>
      <c r="AL101" s="15"/>
      <c r="AM101" s="15"/>
      <c r="AN101" s="15"/>
    </row>
    <row r="102" spans="1:40" ht="62.25">
      <c r="A102" s="1">
        <v>1</v>
      </c>
      <c r="B102" s="17">
        <f>SUBTOTAL(103,$A$92:A102)</f>
        <v>9</v>
      </c>
      <c r="C102" s="64" t="s">
        <v>267</v>
      </c>
      <c r="D102" s="22" t="s">
        <v>554</v>
      </c>
      <c r="E102" s="20">
        <v>0.89759999999999995</v>
      </c>
      <c r="F102" s="5">
        <f t="shared" si="40"/>
        <v>19576.66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0</v>
      </c>
      <c r="M102" s="24">
        <v>0</v>
      </c>
      <c r="N102" s="5">
        <v>0</v>
      </c>
      <c r="O102" s="5">
        <v>746</v>
      </c>
      <c r="P102" s="5">
        <v>19381.87</v>
      </c>
      <c r="Q102" s="5">
        <v>0</v>
      </c>
      <c r="R102" s="5">
        <v>0</v>
      </c>
      <c r="S102" s="5">
        <v>0</v>
      </c>
      <c r="T102" s="67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5">
        <v>0</v>
      </c>
      <c r="AE102" s="5">
        <v>194.79</v>
      </c>
      <c r="AF102" s="5">
        <v>0</v>
      </c>
      <c r="AG102" s="5">
        <v>0</v>
      </c>
      <c r="AH102" s="66" t="s">
        <v>49</v>
      </c>
      <c r="AI102" s="66">
        <v>2020</v>
      </c>
      <c r="AJ102" s="66">
        <v>2020</v>
      </c>
      <c r="AK102" s="15"/>
      <c r="AL102" s="15"/>
      <c r="AM102" s="15"/>
      <c r="AN102" s="15"/>
    </row>
    <row r="103" spans="1:40" ht="62.25">
      <c r="A103" s="1">
        <v>1</v>
      </c>
      <c r="B103" s="17">
        <f>SUBTOTAL(103,$A$92:A103)</f>
        <v>10</v>
      </c>
      <c r="C103" s="64" t="s">
        <v>555</v>
      </c>
      <c r="D103" s="22" t="s">
        <v>553</v>
      </c>
      <c r="E103" s="20">
        <v>0.9928899255817043</v>
      </c>
      <c r="F103" s="5">
        <f>P103+AE103</f>
        <v>3619.9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24">
        <v>0</v>
      </c>
      <c r="N103" s="5">
        <v>0</v>
      </c>
      <c r="O103" s="5">
        <v>342</v>
      </c>
      <c r="P103" s="5">
        <v>3566.4</v>
      </c>
      <c r="Q103" s="5">
        <v>0</v>
      </c>
      <c r="R103" s="5">
        <v>0</v>
      </c>
      <c r="S103" s="5">
        <v>0</v>
      </c>
      <c r="T103" s="67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f>ROUND(P103*1.5%,2)</f>
        <v>53.5</v>
      </c>
      <c r="AF103" s="5">
        <v>0</v>
      </c>
      <c r="AG103" s="5">
        <v>0</v>
      </c>
      <c r="AH103" s="66" t="s">
        <v>49</v>
      </c>
      <c r="AI103" s="66">
        <v>2021</v>
      </c>
      <c r="AJ103" s="66">
        <v>2021</v>
      </c>
      <c r="AK103" s="15"/>
      <c r="AL103" s="15"/>
      <c r="AM103" s="15"/>
      <c r="AN103" s="15"/>
    </row>
    <row r="104" spans="1:40" ht="62.25">
      <c r="B104" s="68" t="s">
        <v>209</v>
      </c>
      <c r="C104" s="69"/>
      <c r="D104" s="65" t="s">
        <v>131</v>
      </c>
      <c r="E104" s="20">
        <f>AVERAGE(E105:E120)</f>
        <v>0.95278854188545492</v>
      </c>
      <c r="F104" s="5">
        <f>SUM(F105:F120)</f>
        <v>1937425.3199999998</v>
      </c>
      <c r="G104" s="5">
        <f t="shared" ref="G104:AG104" si="45">SUM(G105:G120)</f>
        <v>0</v>
      </c>
      <c r="H104" s="5">
        <f t="shared" si="45"/>
        <v>0</v>
      </c>
      <c r="I104" s="5">
        <f t="shared" si="45"/>
        <v>0</v>
      </c>
      <c r="J104" s="5">
        <f t="shared" si="45"/>
        <v>0</v>
      </c>
      <c r="K104" s="5">
        <f t="shared" si="45"/>
        <v>0</v>
      </c>
      <c r="L104" s="5">
        <f t="shared" si="45"/>
        <v>0</v>
      </c>
      <c r="M104" s="5">
        <f t="shared" si="45"/>
        <v>0</v>
      </c>
      <c r="N104" s="5">
        <f t="shared" si="45"/>
        <v>0</v>
      </c>
      <c r="O104" s="5">
        <f t="shared" si="45"/>
        <v>10624.560000000001</v>
      </c>
      <c r="P104" s="5">
        <f t="shared" si="45"/>
        <v>1372115.58</v>
      </c>
      <c r="Q104" s="5">
        <f t="shared" si="45"/>
        <v>0</v>
      </c>
      <c r="R104" s="5">
        <f t="shared" si="45"/>
        <v>0</v>
      </c>
      <c r="S104" s="5">
        <f t="shared" si="45"/>
        <v>853.2</v>
      </c>
      <c r="T104" s="5">
        <f t="shared" si="45"/>
        <v>427011.58</v>
      </c>
      <c r="U104" s="5">
        <f t="shared" si="45"/>
        <v>143.80000000000001</v>
      </c>
      <c r="V104" s="5">
        <f t="shared" si="45"/>
        <v>109992</v>
      </c>
      <c r="W104" s="5">
        <f t="shared" si="45"/>
        <v>0</v>
      </c>
      <c r="X104" s="5">
        <f t="shared" si="45"/>
        <v>0</v>
      </c>
      <c r="Y104" s="5">
        <f t="shared" si="45"/>
        <v>0</v>
      </c>
      <c r="Z104" s="5">
        <f t="shared" si="45"/>
        <v>0</v>
      </c>
      <c r="AA104" s="5">
        <f t="shared" si="45"/>
        <v>0</v>
      </c>
      <c r="AB104" s="5">
        <f t="shared" si="45"/>
        <v>0</v>
      </c>
      <c r="AC104" s="5">
        <f t="shared" si="45"/>
        <v>0</v>
      </c>
      <c r="AD104" s="5">
        <f t="shared" si="45"/>
        <v>0</v>
      </c>
      <c r="AE104" s="5">
        <f t="shared" si="45"/>
        <v>28306.159999999996</v>
      </c>
      <c r="AF104" s="5">
        <f t="shared" si="45"/>
        <v>0</v>
      </c>
      <c r="AG104" s="5">
        <f t="shared" si="45"/>
        <v>0</v>
      </c>
      <c r="AH104" s="66" t="s">
        <v>131</v>
      </c>
      <c r="AI104" s="66" t="s">
        <v>131</v>
      </c>
      <c r="AJ104" s="66" t="s">
        <v>131</v>
      </c>
      <c r="AK104" s="15"/>
      <c r="AL104" s="15"/>
      <c r="AM104" s="15"/>
      <c r="AN104" s="15"/>
    </row>
    <row r="105" spans="1:40" ht="62.25">
      <c r="A105" s="1">
        <v>1</v>
      </c>
      <c r="B105" s="17">
        <f>SUBTOTAL(103,$A$92:A105)</f>
        <v>11</v>
      </c>
      <c r="C105" s="64" t="s">
        <v>268</v>
      </c>
      <c r="D105" s="22" t="s">
        <v>554</v>
      </c>
      <c r="E105" s="20">
        <v>0.97330000000000005</v>
      </c>
      <c r="F105" s="5">
        <f t="shared" si="40"/>
        <v>9167.9599999999991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24">
        <v>0</v>
      </c>
      <c r="N105" s="5">
        <v>0</v>
      </c>
      <c r="O105" s="5">
        <v>1120</v>
      </c>
      <c r="P105" s="5">
        <v>9032.4699999999993</v>
      </c>
      <c r="Q105" s="5">
        <v>0</v>
      </c>
      <c r="R105" s="5">
        <v>0</v>
      </c>
      <c r="S105" s="5">
        <v>0</v>
      </c>
      <c r="T105" s="67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f>ROUND(P105*1.5%,2)</f>
        <v>135.49</v>
      </c>
      <c r="AF105" s="5">
        <v>0</v>
      </c>
      <c r="AG105" s="5">
        <v>0</v>
      </c>
      <c r="AH105" s="66" t="s">
        <v>49</v>
      </c>
      <c r="AI105" s="66">
        <v>2020</v>
      </c>
      <c r="AJ105" s="66">
        <v>2020</v>
      </c>
      <c r="AK105" s="15"/>
      <c r="AL105" s="15"/>
      <c r="AM105" s="15"/>
      <c r="AN105" s="15"/>
    </row>
    <row r="106" spans="1:40" ht="62.25">
      <c r="A106" s="1">
        <v>1</v>
      </c>
      <c r="B106" s="17">
        <f>SUBTOTAL(103,$A$92:A106)</f>
        <v>12</v>
      </c>
      <c r="C106" s="64" t="s">
        <v>269</v>
      </c>
      <c r="D106" s="22" t="s">
        <v>553</v>
      </c>
      <c r="E106" s="20">
        <v>0.86990000000000001</v>
      </c>
      <c r="F106" s="5">
        <f t="shared" si="40"/>
        <v>208611.94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24">
        <v>0</v>
      </c>
      <c r="N106" s="5">
        <v>0</v>
      </c>
      <c r="O106" s="5">
        <v>728.12</v>
      </c>
      <c r="P106" s="5">
        <v>205529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f t="shared" ref="AE106:AE111" si="46">ROUND(P106*1.5%,2)</f>
        <v>3082.94</v>
      </c>
      <c r="AF106" s="5">
        <v>0</v>
      </c>
      <c r="AG106" s="5">
        <v>0</v>
      </c>
      <c r="AH106" s="66" t="s">
        <v>49</v>
      </c>
      <c r="AI106" s="66">
        <v>2020</v>
      </c>
      <c r="AJ106" s="66">
        <v>2020</v>
      </c>
      <c r="AK106" s="15"/>
      <c r="AL106" s="15"/>
      <c r="AM106" s="15"/>
      <c r="AN106" s="15"/>
    </row>
    <row r="107" spans="1:40" ht="62.25">
      <c r="A107" s="1">
        <v>1</v>
      </c>
      <c r="B107" s="17">
        <f>SUBTOTAL(103,$A$92:A107)</f>
        <v>13</v>
      </c>
      <c r="C107" s="64" t="s">
        <v>270</v>
      </c>
      <c r="D107" s="22" t="s">
        <v>554</v>
      </c>
      <c r="E107" s="20">
        <v>0.95440000000000003</v>
      </c>
      <c r="F107" s="5">
        <f t="shared" si="40"/>
        <v>170151.06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24">
        <v>0</v>
      </c>
      <c r="N107" s="5">
        <v>0</v>
      </c>
      <c r="O107" s="5">
        <v>755</v>
      </c>
      <c r="P107" s="5">
        <v>167636.51</v>
      </c>
      <c r="Q107" s="5">
        <v>0</v>
      </c>
      <c r="R107" s="5">
        <v>0</v>
      </c>
      <c r="S107" s="5">
        <v>0</v>
      </c>
      <c r="T107" s="67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2514.5500000000002</v>
      </c>
      <c r="AF107" s="5">
        <v>0</v>
      </c>
      <c r="AG107" s="5">
        <v>0</v>
      </c>
      <c r="AH107" s="66" t="s">
        <v>49</v>
      </c>
      <c r="AI107" s="66">
        <v>2020</v>
      </c>
      <c r="AJ107" s="66">
        <v>2020</v>
      </c>
      <c r="AK107" s="15"/>
      <c r="AL107" s="15"/>
      <c r="AM107" s="15"/>
      <c r="AN107" s="15"/>
    </row>
    <row r="108" spans="1:40" ht="62.25">
      <c r="A108" s="1">
        <v>1</v>
      </c>
      <c r="B108" s="17">
        <f>SUBTOTAL(103,$A$92:A108)</f>
        <v>14</v>
      </c>
      <c r="C108" s="64" t="s">
        <v>271</v>
      </c>
      <c r="D108" s="22" t="s">
        <v>554</v>
      </c>
      <c r="E108" s="20">
        <v>1.0023</v>
      </c>
      <c r="F108" s="5">
        <f t="shared" si="40"/>
        <v>39116.53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24">
        <v>0</v>
      </c>
      <c r="N108" s="5">
        <v>0</v>
      </c>
      <c r="O108" s="5">
        <v>497</v>
      </c>
      <c r="P108" s="5">
        <v>38538.449999999997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f t="shared" si="46"/>
        <v>578.08000000000004</v>
      </c>
      <c r="AF108" s="5">
        <v>0</v>
      </c>
      <c r="AG108" s="5">
        <v>0</v>
      </c>
      <c r="AH108" s="66" t="s">
        <v>49</v>
      </c>
      <c r="AI108" s="66">
        <v>2020</v>
      </c>
      <c r="AJ108" s="66">
        <v>2020</v>
      </c>
      <c r="AK108" s="15"/>
      <c r="AL108" s="15"/>
      <c r="AM108" s="15"/>
      <c r="AN108" s="15"/>
    </row>
    <row r="109" spans="1:40" ht="62.25">
      <c r="A109" s="1">
        <v>1</v>
      </c>
      <c r="B109" s="17">
        <f>SUBTOTAL(103,$A$92:A109)</f>
        <v>15</v>
      </c>
      <c r="C109" s="64" t="s">
        <v>272</v>
      </c>
      <c r="D109" s="22" t="s">
        <v>553</v>
      </c>
      <c r="E109" s="20">
        <v>0.96599999999999997</v>
      </c>
      <c r="F109" s="5">
        <f t="shared" si="40"/>
        <v>35463.9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24">
        <v>0</v>
      </c>
      <c r="N109" s="5">
        <v>0</v>
      </c>
      <c r="O109" s="5">
        <v>636</v>
      </c>
      <c r="P109" s="5">
        <v>34939.800000000003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f t="shared" si="46"/>
        <v>524.1</v>
      </c>
      <c r="AF109" s="5">
        <v>0</v>
      </c>
      <c r="AG109" s="5">
        <v>0</v>
      </c>
      <c r="AH109" s="66" t="s">
        <v>49</v>
      </c>
      <c r="AI109" s="66">
        <v>2020</v>
      </c>
      <c r="AJ109" s="66">
        <v>2020</v>
      </c>
      <c r="AK109" s="15"/>
      <c r="AL109" s="15"/>
      <c r="AM109" s="15"/>
      <c r="AN109" s="15"/>
    </row>
    <row r="110" spans="1:40" ht="62.25">
      <c r="A110" s="1">
        <v>1</v>
      </c>
      <c r="B110" s="17">
        <f>SUBTOTAL(103,$A$92:A110)</f>
        <v>16</v>
      </c>
      <c r="C110" s="64" t="s">
        <v>273</v>
      </c>
      <c r="D110" s="22" t="s">
        <v>554</v>
      </c>
      <c r="E110" s="20">
        <v>0.90890000000000004</v>
      </c>
      <c r="F110" s="5">
        <f t="shared" si="40"/>
        <v>381944.5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24">
        <v>0</v>
      </c>
      <c r="N110" s="5">
        <v>0</v>
      </c>
      <c r="O110" s="5">
        <v>645</v>
      </c>
      <c r="P110" s="5">
        <v>376300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f t="shared" si="46"/>
        <v>5644.5</v>
      </c>
      <c r="AF110" s="5">
        <v>0</v>
      </c>
      <c r="AG110" s="5">
        <v>0</v>
      </c>
      <c r="AH110" s="66" t="s">
        <v>49</v>
      </c>
      <c r="AI110" s="6">
        <v>2021</v>
      </c>
      <c r="AJ110" s="6">
        <v>2021</v>
      </c>
      <c r="AK110" s="15"/>
      <c r="AL110" s="15"/>
      <c r="AM110" s="15"/>
      <c r="AN110" s="15"/>
    </row>
    <row r="111" spans="1:40" ht="62.25">
      <c r="A111" s="1">
        <v>1</v>
      </c>
      <c r="B111" s="17">
        <f>SUBTOTAL(103,$A$92:A111)</f>
        <v>17</v>
      </c>
      <c r="C111" s="64" t="s">
        <v>274</v>
      </c>
      <c r="D111" s="22" t="s">
        <v>553</v>
      </c>
      <c r="E111" s="20">
        <v>0.97260000000000002</v>
      </c>
      <c r="F111" s="5">
        <f t="shared" si="40"/>
        <v>7464.31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24">
        <v>0</v>
      </c>
      <c r="N111" s="5">
        <v>0</v>
      </c>
      <c r="O111" s="5">
        <v>691.81</v>
      </c>
      <c r="P111" s="5">
        <v>7354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v>0</v>
      </c>
      <c r="AC111" s="5">
        <v>0</v>
      </c>
      <c r="AD111" s="5">
        <v>0</v>
      </c>
      <c r="AE111" s="5">
        <f t="shared" si="46"/>
        <v>110.31</v>
      </c>
      <c r="AF111" s="5">
        <v>0</v>
      </c>
      <c r="AG111" s="5">
        <v>0</v>
      </c>
      <c r="AH111" s="66" t="s">
        <v>49</v>
      </c>
      <c r="AI111" s="66">
        <v>2020</v>
      </c>
      <c r="AJ111" s="66">
        <v>2020</v>
      </c>
      <c r="AK111" s="15"/>
      <c r="AL111" s="15"/>
      <c r="AM111" s="15"/>
      <c r="AN111" s="15"/>
    </row>
    <row r="112" spans="1:40" ht="62.25">
      <c r="A112" s="1">
        <v>1</v>
      </c>
      <c r="B112" s="17">
        <f>SUBTOTAL(103,$A$92:A112)</f>
        <v>18</v>
      </c>
      <c r="C112" s="64" t="s">
        <v>275</v>
      </c>
      <c r="D112" s="26" t="s">
        <v>554</v>
      </c>
      <c r="E112" s="20">
        <v>0.9919</v>
      </c>
      <c r="F112" s="5">
        <f t="shared" si="40"/>
        <v>433416.75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24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853.2</v>
      </c>
      <c r="T112" s="67">
        <v>427011.58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6405.17</v>
      </c>
      <c r="AF112" s="5">
        <v>0</v>
      </c>
      <c r="AG112" s="5">
        <v>0</v>
      </c>
      <c r="AH112" s="66" t="s">
        <v>49</v>
      </c>
      <c r="AI112" s="66">
        <v>2020</v>
      </c>
      <c r="AJ112" s="66">
        <v>2020</v>
      </c>
      <c r="AK112" s="15"/>
      <c r="AL112" s="15"/>
      <c r="AM112" s="15"/>
      <c r="AN112" s="15"/>
    </row>
    <row r="113" spans="1:40" ht="62.25">
      <c r="A113" s="1">
        <v>1</v>
      </c>
      <c r="B113" s="17">
        <f>SUBTOTAL(103,$A$92:A113)</f>
        <v>19</v>
      </c>
      <c r="C113" s="64" t="s">
        <v>235</v>
      </c>
      <c r="D113" s="22" t="s">
        <v>379</v>
      </c>
      <c r="E113" s="20">
        <v>0.96870000000000001</v>
      </c>
      <c r="F113" s="5">
        <f t="shared" si="40"/>
        <v>167825.19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24">
        <v>0</v>
      </c>
      <c r="N113" s="5">
        <v>0</v>
      </c>
      <c r="O113" s="5">
        <v>404</v>
      </c>
      <c r="P113" s="5">
        <v>165540.73000000001</v>
      </c>
      <c r="Q113" s="5">
        <v>0</v>
      </c>
      <c r="R113" s="5">
        <v>0</v>
      </c>
      <c r="S113" s="5">
        <v>0</v>
      </c>
      <c r="T113" s="67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v>0</v>
      </c>
      <c r="AC113" s="5">
        <v>0</v>
      </c>
      <c r="AD113" s="5">
        <v>0</v>
      </c>
      <c r="AE113" s="5">
        <v>2284.46</v>
      </c>
      <c r="AF113" s="5">
        <v>0</v>
      </c>
      <c r="AG113" s="5">
        <v>0</v>
      </c>
      <c r="AH113" s="66" t="s">
        <v>49</v>
      </c>
      <c r="AI113" s="66">
        <v>2020</v>
      </c>
      <c r="AJ113" s="66">
        <v>2020</v>
      </c>
      <c r="AK113" s="15"/>
      <c r="AL113" s="15"/>
      <c r="AM113" s="15"/>
      <c r="AN113" s="15"/>
    </row>
    <row r="114" spans="1:40" ht="62.25">
      <c r="A114" s="1">
        <v>1</v>
      </c>
      <c r="B114" s="17">
        <f>SUBTOTAL(103,$A$92:A114)</f>
        <v>20</v>
      </c>
      <c r="C114" s="64" t="s">
        <v>276</v>
      </c>
      <c r="D114" s="22" t="s">
        <v>556</v>
      </c>
      <c r="E114" s="20">
        <v>1.0038</v>
      </c>
      <c r="F114" s="5">
        <f t="shared" si="40"/>
        <v>11016.92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24">
        <v>0</v>
      </c>
      <c r="N114" s="5">
        <v>0</v>
      </c>
      <c r="O114" s="5">
        <v>1156</v>
      </c>
      <c r="P114" s="5">
        <v>10854.11</v>
      </c>
      <c r="Q114" s="5">
        <v>0</v>
      </c>
      <c r="R114" s="5">
        <v>0</v>
      </c>
      <c r="S114" s="5">
        <v>0</v>
      </c>
      <c r="T114" s="67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f>ROUND(P114*1.5%,2)</f>
        <v>162.81</v>
      </c>
      <c r="AF114" s="5">
        <v>0</v>
      </c>
      <c r="AG114" s="5">
        <v>0</v>
      </c>
      <c r="AH114" s="66" t="s">
        <v>49</v>
      </c>
      <c r="AI114" s="66">
        <v>2020</v>
      </c>
      <c r="AJ114" s="66">
        <v>2020</v>
      </c>
      <c r="AK114" s="15"/>
      <c r="AL114" s="15"/>
      <c r="AM114" s="15"/>
      <c r="AN114" s="15"/>
    </row>
    <row r="115" spans="1:40" ht="62.25">
      <c r="A115" s="1">
        <v>1</v>
      </c>
      <c r="B115" s="17">
        <f>SUBTOTAL(103,$A$92:A115)</f>
        <v>21</v>
      </c>
      <c r="C115" s="64" t="s">
        <v>343</v>
      </c>
      <c r="D115" s="26" t="s">
        <v>379</v>
      </c>
      <c r="E115" s="20">
        <v>0.97260000000000002</v>
      </c>
      <c r="F115" s="5">
        <f t="shared" si="40"/>
        <v>111509.89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24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67">
        <v>0</v>
      </c>
      <c r="U115" s="5">
        <v>143.80000000000001</v>
      </c>
      <c r="V115" s="5">
        <v>109992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v>0</v>
      </c>
      <c r="AC115" s="5">
        <v>0</v>
      </c>
      <c r="AD115" s="5">
        <v>0</v>
      </c>
      <c r="AE115" s="5">
        <v>1517.89</v>
      </c>
      <c r="AF115" s="5">
        <v>0</v>
      </c>
      <c r="AG115" s="5">
        <v>0</v>
      </c>
      <c r="AH115" s="66" t="s">
        <v>49</v>
      </c>
      <c r="AI115" s="66">
        <v>2020</v>
      </c>
      <c r="AJ115" s="66">
        <v>2020</v>
      </c>
      <c r="AK115" s="15"/>
      <c r="AL115" s="15"/>
      <c r="AM115" s="15"/>
      <c r="AN115" s="15"/>
    </row>
    <row r="116" spans="1:40" ht="62.25">
      <c r="A116" s="1">
        <v>1</v>
      </c>
      <c r="B116" s="17">
        <f>SUBTOTAL(103,$A$92:A116)</f>
        <v>22</v>
      </c>
      <c r="C116" s="64" t="s">
        <v>344</v>
      </c>
      <c r="D116" s="22" t="s">
        <v>553</v>
      </c>
      <c r="E116" s="20">
        <v>0.9859</v>
      </c>
      <c r="F116" s="5">
        <f t="shared" si="40"/>
        <v>155816.68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24">
        <v>0</v>
      </c>
      <c r="N116" s="5">
        <v>0</v>
      </c>
      <c r="O116" s="5">
        <v>622.63</v>
      </c>
      <c r="P116" s="5">
        <v>153513.97</v>
      </c>
      <c r="Q116" s="5">
        <v>0</v>
      </c>
      <c r="R116" s="5">
        <v>0</v>
      </c>
      <c r="S116" s="5">
        <v>0</v>
      </c>
      <c r="T116" s="67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f>ROUND(P116*1.5%,2)</f>
        <v>2302.71</v>
      </c>
      <c r="AF116" s="5">
        <v>0</v>
      </c>
      <c r="AG116" s="5">
        <v>0</v>
      </c>
      <c r="AH116" s="66" t="s">
        <v>49</v>
      </c>
      <c r="AI116" s="66">
        <v>2020</v>
      </c>
      <c r="AJ116" s="66">
        <v>2020</v>
      </c>
      <c r="AK116" s="15"/>
      <c r="AL116" s="15"/>
      <c r="AM116" s="15"/>
      <c r="AN116" s="15"/>
    </row>
    <row r="117" spans="1:40" ht="62.25">
      <c r="A117" s="1">
        <v>1</v>
      </c>
      <c r="B117" s="17">
        <f>SUBTOTAL(103,$A$92:A117)</f>
        <v>23</v>
      </c>
      <c r="C117" s="64" t="s">
        <v>345</v>
      </c>
      <c r="D117" s="22" t="s">
        <v>554</v>
      </c>
      <c r="E117" s="20">
        <v>1.0001</v>
      </c>
      <c r="F117" s="5">
        <f t="shared" si="40"/>
        <v>9497.9600000000009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24">
        <v>0</v>
      </c>
      <c r="N117" s="5">
        <v>0</v>
      </c>
      <c r="O117" s="5">
        <v>550</v>
      </c>
      <c r="P117" s="5">
        <v>9357.6</v>
      </c>
      <c r="Q117" s="5">
        <v>0</v>
      </c>
      <c r="R117" s="5">
        <v>0</v>
      </c>
      <c r="S117" s="5">
        <v>0</v>
      </c>
      <c r="T117" s="67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f>ROUND(P117*1.5%,2)</f>
        <v>140.36000000000001</v>
      </c>
      <c r="AF117" s="5">
        <v>0</v>
      </c>
      <c r="AG117" s="5">
        <v>0</v>
      </c>
      <c r="AH117" s="66" t="s">
        <v>49</v>
      </c>
      <c r="AI117" s="66">
        <v>2020</v>
      </c>
      <c r="AJ117" s="66">
        <v>2020</v>
      </c>
      <c r="AK117" s="15"/>
      <c r="AL117" s="15"/>
      <c r="AM117" s="15"/>
      <c r="AN117" s="15"/>
    </row>
    <row r="118" spans="1:40" ht="62.25">
      <c r="A118" s="1">
        <v>1</v>
      </c>
      <c r="B118" s="17">
        <f>SUBTOTAL(103,$A$92:A118)</f>
        <v>24</v>
      </c>
      <c r="C118" s="64" t="s">
        <v>346</v>
      </c>
      <c r="D118" s="22" t="s">
        <v>556</v>
      </c>
      <c r="E118" s="20">
        <v>0.95650000000000002</v>
      </c>
      <c r="F118" s="5">
        <f t="shared" si="40"/>
        <v>61000.020000000004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24">
        <v>0</v>
      </c>
      <c r="N118" s="5">
        <v>0</v>
      </c>
      <c r="O118" s="5">
        <v>807</v>
      </c>
      <c r="P118" s="5">
        <v>60098.54</v>
      </c>
      <c r="Q118" s="5">
        <v>0</v>
      </c>
      <c r="R118" s="5">
        <v>0</v>
      </c>
      <c r="S118" s="5">
        <v>0</v>
      </c>
      <c r="T118" s="67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f>ROUND(P118*1.5%,2)</f>
        <v>901.48</v>
      </c>
      <c r="AF118" s="5">
        <v>0</v>
      </c>
      <c r="AG118" s="5">
        <v>0</v>
      </c>
      <c r="AH118" s="66" t="s">
        <v>49</v>
      </c>
      <c r="AI118" s="66">
        <v>2020</v>
      </c>
      <c r="AJ118" s="66">
        <v>2020</v>
      </c>
      <c r="AK118" s="15"/>
      <c r="AL118" s="15"/>
      <c r="AM118" s="15"/>
      <c r="AN118" s="15"/>
    </row>
    <row r="119" spans="1:40" ht="62.25">
      <c r="A119" s="1">
        <v>1</v>
      </c>
      <c r="B119" s="17">
        <f>SUBTOTAL(103,$A$92:A119)</f>
        <v>25</v>
      </c>
      <c r="C119" s="64" t="s">
        <v>388</v>
      </c>
      <c r="D119" s="22" t="s">
        <v>554</v>
      </c>
      <c r="E119" s="20">
        <v>0.76249999999999996</v>
      </c>
      <c r="F119" s="5">
        <f t="shared" si="40"/>
        <v>91476.549999999988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24">
        <v>0</v>
      </c>
      <c r="N119" s="5">
        <v>0</v>
      </c>
      <c r="O119" s="5">
        <v>1059</v>
      </c>
      <c r="P119" s="5">
        <v>90124.68</v>
      </c>
      <c r="Q119" s="5">
        <v>0</v>
      </c>
      <c r="R119" s="5">
        <v>0</v>
      </c>
      <c r="S119" s="5">
        <v>0</v>
      </c>
      <c r="T119" s="67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f>ROUND(P119*1.5%,2)</f>
        <v>1351.87</v>
      </c>
      <c r="AF119" s="5">
        <v>0</v>
      </c>
      <c r="AG119" s="5">
        <v>0</v>
      </c>
      <c r="AH119" s="66" t="s">
        <v>49</v>
      </c>
      <c r="AI119" s="66">
        <v>2020</v>
      </c>
      <c r="AJ119" s="66">
        <v>2020</v>
      </c>
      <c r="AK119" s="15"/>
      <c r="AL119" s="15"/>
      <c r="AM119" s="15"/>
      <c r="AN119" s="15"/>
    </row>
    <row r="120" spans="1:40" ht="62.25">
      <c r="A120" s="1">
        <v>1</v>
      </c>
      <c r="B120" s="17">
        <f>SUBTOTAL(103,$A$92:A120)</f>
        <v>26</v>
      </c>
      <c r="C120" s="64" t="s">
        <v>557</v>
      </c>
      <c r="D120" s="22" t="s">
        <v>556</v>
      </c>
      <c r="E120" s="20">
        <v>0.95521667016728007</v>
      </c>
      <c r="F120" s="5">
        <f>P120+AE120</f>
        <v>43945.16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24">
        <v>0</v>
      </c>
      <c r="N120" s="5">
        <v>0</v>
      </c>
      <c r="O120" s="5">
        <v>953</v>
      </c>
      <c r="P120" s="5">
        <v>43295.72</v>
      </c>
      <c r="Q120" s="5">
        <v>0</v>
      </c>
      <c r="R120" s="5">
        <v>0</v>
      </c>
      <c r="S120" s="5">
        <v>0</v>
      </c>
      <c r="T120" s="67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f>ROUND(P120*1.5%,2)</f>
        <v>649.44000000000005</v>
      </c>
      <c r="AF120" s="5">
        <v>0</v>
      </c>
      <c r="AG120" s="5">
        <v>0</v>
      </c>
      <c r="AH120" s="66" t="s">
        <v>49</v>
      </c>
      <c r="AI120" s="66">
        <v>2020</v>
      </c>
      <c r="AJ120" s="66">
        <v>2020</v>
      </c>
      <c r="AK120" s="15"/>
      <c r="AL120" s="15"/>
      <c r="AM120" s="15"/>
      <c r="AN120" s="15"/>
    </row>
    <row r="121" spans="1:40" ht="62.25">
      <c r="B121" s="68" t="s">
        <v>100</v>
      </c>
      <c r="C121" s="69"/>
      <c r="D121" s="65" t="s">
        <v>131</v>
      </c>
      <c r="E121" s="20">
        <f>AVERAGE(E122:E128)</f>
        <v>0.79046997917439299</v>
      </c>
      <c r="F121" s="5">
        <f>SUM(F122:F128)</f>
        <v>2682931.6799999997</v>
      </c>
      <c r="G121" s="5">
        <f t="shared" ref="G121:AG121" si="47">SUM(G122:G128)</f>
        <v>0</v>
      </c>
      <c r="H121" s="5">
        <f t="shared" si="47"/>
        <v>0</v>
      </c>
      <c r="I121" s="5">
        <f t="shared" si="47"/>
        <v>0</v>
      </c>
      <c r="J121" s="5">
        <f t="shared" si="47"/>
        <v>0</v>
      </c>
      <c r="K121" s="5">
        <f t="shared" si="47"/>
        <v>0</v>
      </c>
      <c r="L121" s="5">
        <f t="shared" si="47"/>
        <v>0</v>
      </c>
      <c r="M121" s="5">
        <f t="shared" si="47"/>
        <v>0</v>
      </c>
      <c r="N121" s="5">
        <f t="shared" si="47"/>
        <v>0</v>
      </c>
      <c r="O121" s="5">
        <f t="shared" si="47"/>
        <v>6319.26</v>
      </c>
      <c r="P121" s="5">
        <f t="shared" si="47"/>
        <v>2644410.02</v>
      </c>
      <c r="Q121" s="5">
        <f t="shared" si="47"/>
        <v>0</v>
      </c>
      <c r="R121" s="5">
        <f t="shared" si="47"/>
        <v>0</v>
      </c>
      <c r="S121" s="5">
        <f t="shared" si="47"/>
        <v>0</v>
      </c>
      <c r="T121" s="5">
        <f t="shared" si="47"/>
        <v>0</v>
      </c>
      <c r="U121" s="5">
        <f t="shared" si="47"/>
        <v>0</v>
      </c>
      <c r="V121" s="5">
        <f t="shared" si="47"/>
        <v>0</v>
      </c>
      <c r="W121" s="5">
        <f t="shared" si="47"/>
        <v>0</v>
      </c>
      <c r="X121" s="5">
        <f t="shared" si="47"/>
        <v>0</v>
      </c>
      <c r="Y121" s="5">
        <f t="shared" si="47"/>
        <v>0</v>
      </c>
      <c r="Z121" s="5">
        <f t="shared" si="47"/>
        <v>0</v>
      </c>
      <c r="AA121" s="5">
        <f t="shared" si="47"/>
        <v>0</v>
      </c>
      <c r="AB121" s="5">
        <f t="shared" si="47"/>
        <v>0</v>
      </c>
      <c r="AC121" s="5">
        <f t="shared" si="47"/>
        <v>0</v>
      </c>
      <c r="AD121" s="5">
        <f t="shared" si="47"/>
        <v>0</v>
      </c>
      <c r="AE121" s="5">
        <f t="shared" si="47"/>
        <v>38521.659999999989</v>
      </c>
      <c r="AF121" s="5">
        <f t="shared" si="47"/>
        <v>0</v>
      </c>
      <c r="AG121" s="5">
        <f t="shared" si="47"/>
        <v>0</v>
      </c>
      <c r="AH121" s="66" t="s">
        <v>131</v>
      </c>
      <c r="AI121" s="66" t="s">
        <v>131</v>
      </c>
      <c r="AJ121" s="66" t="s">
        <v>131</v>
      </c>
      <c r="AK121" s="15"/>
      <c r="AL121" s="15"/>
      <c r="AM121" s="15"/>
      <c r="AN121" s="15"/>
    </row>
    <row r="122" spans="1:40" ht="62.25">
      <c r="A122" s="1">
        <v>1</v>
      </c>
      <c r="B122" s="17">
        <f>SUBTOTAL(103,$A$92:A122)</f>
        <v>27</v>
      </c>
      <c r="C122" s="64" t="s">
        <v>277</v>
      </c>
      <c r="D122" s="22" t="s">
        <v>554</v>
      </c>
      <c r="E122" s="20">
        <v>0.79441212856856191</v>
      </c>
      <c r="F122" s="5">
        <f t="shared" si="40"/>
        <v>505301.78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24">
        <v>0</v>
      </c>
      <c r="N122" s="5">
        <v>0</v>
      </c>
      <c r="O122" s="5">
        <v>1148</v>
      </c>
      <c r="P122" s="5">
        <v>497834.27</v>
      </c>
      <c r="Q122" s="5">
        <v>0</v>
      </c>
      <c r="R122" s="5">
        <v>0</v>
      </c>
      <c r="S122" s="5">
        <v>0</v>
      </c>
      <c r="T122" s="67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f t="shared" ref="AE122:AE128" si="48">ROUND(P122*1.5%,2)</f>
        <v>7467.51</v>
      </c>
      <c r="AF122" s="5">
        <v>0</v>
      </c>
      <c r="AG122" s="5">
        <v>0</v>
      </c>
      <c r="AH122" s="66" t="s">
        <v>49</v>
      </c>
      <c r="AI122" s="66">
        <v>2020</v>
      </c>
      <c r="AJ122" s="66">
        <v>2020</v>
      </c>
      <c r="AK122" s="15"/>
      <c r="AL122" s="15"/>
      <c r="AM122" s="15"/>
      <c r="AN122" s="15"/>
    </row>
    <row r="123" spans="1:40" ht="62.25">
      <c r="A123" s="1">
        <v>1</v>
      </c>
      <c r="B123" s="17">
        <f>SUBTOTAL(103,$A$92:A123)</f>
        <v>28</v>
      </c>
      <c r="C123" s="64" t="s">
        <v>278</v>
      </c>
      <c r="D123" s="22" t="s">
        <v>554</v>
      </c>
      <c r="E123" s="20">
        <v>0.77911652932310516</v>
      </c>
      <c r="F123" s="5">
        <f t="shared" si="40"/>
        <v>1853524.39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24">
        <v>0</v>
      </c>
      <c r="N123" s="5">
        <v>0</v>
      </c>
      <c r="O123" s="5">
        <v>812.5</v>
      </c>
      <c r="P123" s="5">
        <v>1826132.4</v>
      </c>
      <c r="Q123" s="5">
        <v>0</v>
      </c>
      <c r="R123" s="5">
        <v>0</v>
      </c>
      <c r="S123" s="5">
        <v>0</v>
      </c>
      <c r="T123" s="67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f t="shared" si="48"/>
        <v>27391.99</v>
      </c>
      <c r="AF123" s="5">
        <v>0</v>
      </c>
      <c r="AG123" s="5">
        <v>0</v>
      </c>
      <c r="AH123" s="66" t="s">
        <v>49</v>
      </c>
      <c r="AI123" s="6">
        <v>2021</v>
      </c>
      <c r="AJ123" s="6">
        <v>2021</v>
      </c>
      <c r="AK123" s="15"/>
      <c r="AL123" s="15"/>
      <c r="AM123" s="15"/>
      <c r="AN123" s="15"/>
    </row>
    <row r="124" spans="1:40" ht="62.25">
      <c r="A124" s="1">
        <v>1</v>
      </c>
      <c r="B124" s="17">
        <f>SUBTOTAL(103,$A$92:A124)</f>
        <v>29</v>
      </c>
      <c r="C124" s="64" t="s">
        <v>279</v>
      </c>
      <c r="D124" s="22" t="s">
        <v>379</v>
      </c>
      <c r="E124" s="20">
        <v>0.64500000000000002</v>
      </c>
      <c r="F124" s="5">
        <f t="shared" si="40"/>
        <v>57982.38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24">
        <v>0</v>
      </c>
      <c r="N124" s="5">
        <v>0</v>
      </c>
      <c r="O124" s="5">
        <v>1240.56</v>
      </c>
      <c r="P124" s="67">
        <v>57405.46</v>
      </c>
      <c r="Q124" s="5">
        <v>0</v>
      </c>
      <c r="R124" s="5">
        <v>0</v>
      </c>
      <c r="S124" s="5">
        <v>0</v>
      </c>
      <c r="T124" s="67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576.91999999999996</v>
      </c>
      <c r="AF124" s="5">
        <v>0</v>
      </c>
      <c r="AG124" s="5">
        <v>0</v>
      </c>
      <c r="AH124" s="66" t="s">
        <v>49</v>
      </c>
      <c r="AI124" s="66">
        <v>2020</v>
      </c>
      <c r="AJ124" s="66">
        <v>2020</v>
      </c>
      <c r="AK124" s="15"/>
      <c r="AL124" s="15"/>
      <c r="AM124" s="15"/>
      <c r="AN124" s="15"/>
    </row>
    <row r="125" spans="1:40" ht="62.25">
      <c r="A125" s="1">
        <v>1</v>
      </c>
      <c r="B125" s="17">
        <f>SUBTOTAL(103,$A$92:A125)</f>
        <v>30</v>
      </c>
      <c r="C125" s="64" t="s">
        <v>280</v>
      </c>
      <c r="D125" s="22" t="s">
        <v>554</v>
      </c>
      <c r="E125" s="20">
        <v>0.88700000000000001</v>
      </c>
      <c r="F125" s="5">
        <f t="shared" si="40"/>
        <v>175548.91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24">
        <v>0</v>
      </c>
      <c r="N125" s="5">
        <v>0</v>
      </c>
      <c r="O125" s="5">
        <v>838</v>
      </c>
      <c r="P125" s="5">
        <v>173802.2</v>
      </c>
      <c r="Q125" s="5">
        <v>0</v>
      </c>
      <c r="R125" s="5">
        <v>0</v>
      </c>
      <c r="S125" s="5">
        <v>0</v>
      </c>
      <c r="T125" s="67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1746.71</v>
      </c>
      <c r="AF125" s="5">
        <v>0</v>
      </c>
      <c r="AG125" s="5">
        <v>0</v>
      </c>
      <c r="AH125" s="66" t="s">
        <v>49</v>
      </c>
      <c r="AI125" s="66">
        <v>2020</v>
      </c>
      <c r="AJ125" s="66">
        <v>2020</v>
      </c>
      <c r="AK125" s="15"/>
      <c r="AL125" s="15"/>
      <c r="AM125" s="15"/>
      <c r="AN125" s="15"/>
    </row>
    <row r="126" spans="1:40" ht="62.25">
      <c r="A126" s="1">
        <v>1</v>
      </c>
      <c r="B126" s="17">
        <f>SUBTOTAL(103,$A$92:A126)</f>
        <v>31</v>
      </c>
      <c r="C126" s="64" t="s">
        <v>281</v>
      </c>
      <c r="D126" s="22" t="s">
        <v>554</v>
      </c>
      <c r="E126" s="20">
        <v>0.78459999999999996</v>
      </c>
      <c r="F126" s="5">
        <f t="shared" si="40"/>
        <v>63876.88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24">
        <v>0</v>
      </c>
      <c r="N126" s="5">
        <v>0</v>
      </c>
      <c r="O126" s="5">
        <v>823.2</v>
      </c>
      <c r="P126" s="5">
        <v>62932.89</v>
      </c>
      <c r="Q126" s="5">
        <v>0</v>
      </c>
      <c r="R126" s="5">
        <v>0</v>
      </c>
      <c r="S126" s="5">
        <v>0</v>
      </c>
      <c r="T126" s="67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f t="shared" si="48"/>
        <v>943.99</v>
      </c>
      <c r="AF126" s="5">
        <v>0</v>
      </c>
      <c r="AG126" s="5">
        <v>0</v>
      </c>
      <c r="AH126" s="66" t="s">
        <v>49</v>
      </c>
      <c r="AI126" s="66">
        <v>2020</v>
      </c>
      <c r="AJ126" s="66">
        <v>2020</v>
      </c>
      <c r="AK126" s="15"/>
      <c r="AL126" s="15"/>
      <c r="AM126" s="15"/>
      <c r="AN126" s="15"/>
    </row>
    <row r="127" spans="1:40" ht="62.25">
      <c r="A127" s="1">
        <v>1</v>
      </c>
      <c r="B127" s="17">
        <f>SUBTOTAL(103,$A$92:A127)</f>
        <v>32</v>
      </c>
      <c r="C127" s="64" t="s">
        <v>282</v>
      </c>
      <c r="D127" s="22" t="s">
        <v>554</v>
      </c>
      <c r="E127" s="20">
        <v>0.70240000000000002</v>
      </c>
      <c r="F127" s="5">
        <f t="shared" si="40"/>
        <v>2454.27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24">
        <v>0</v>
      </c>
      <c r="N127" s="5">
        <v>0</v>
      </c>
      <c r="O127" s="5">
        <v>472</v>
      </c>
      <c r="P127" s="5">
        <v>2418</v>
      </c>
      <c r="Q127" s="5">
        <v>0</v>
      </c>
      <c r="R127" s="5">
        <v>0</v>
      </c>
      <c r="S127" s="5">
        <v>0</v>
      </c>
      <c r="T127" s="67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f t="shared" si="48"/>
        <v>36.270000000000003</v>
      </c>
      <c r="AF127" s="5">
        <v>0</v>
      </c>
      <c r="AG127" s="5">
        <v>0</v>
      </c>
      <c r="AH127" s="66" t="s">
        <v>49</v>
      </c>
      <c r="AI127" s="66">
        <v>2020</v>
      </c>
      <c r="AJ127" s="66">
        <v>2020</v>
      </c>
      <c r="AK127" s="15"/>
      <c r="AL127" s="15"/>
      <c r="AM127" s="15"/>
      <c r="AN127" s="15"/>
    </row>
    <row r="128" spans="1:40" ht="62.25">
      <c r="A128" s="1">
        <v>1</v>
      </c>
      <c r="B128" s="17">
        <f>SUBTOTAL(103,$A$92:A128)</f>
        <v>33</v>
      </c>
      <c r="C128" s="64" t="s">
        <v>558</v>
      </c>
      <c r="D128" s="22" t="s">
        <v>379</v>
      </c>
      <c r="E128" s="20">
        <v>0.94076119632908406</v>
      </c>
      <c r="F128" s="5">
        <f>P128+AE128</f>
        <v>24243.07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24">
        <v>0</v>
      </c>
      <c r="N128" s="5">
        <v>0</v>
      </c>
      <c r="O128" s="5">
        <v>985</v>
      </c>
      <c r="P128" s="5">
        <v>23884.799999999999</v>
      </c>
      <c r="Q128" s="5">
        <v>0</v>
      </c>
      <c r="R128" s="5">
        <v>0</v>
      </c>
      <c r="S128" s="5">
        <v>0</v>
      </c>
      <c r="T128" s="67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0</v>
      </c>
      <c r="AB128" s="5">
        <v>0</v>
      </c>
      <c r="AC128" s="5">
        <v>0</v>
      </c>
      <c r="AD128" s="5">
        <v>0</v>
      </c>
      <c r="AE128" s="5">
        <f t="shared" si="48"/>
        <v>358.27</v>
      </c>
      <c r="AF128" s="5">
        <v>0</v>
      </c>
      <c r="AG128" s="5">
        <v>0</v>
      </c>
      <c r="AH128" s="66" t="s">
        <v>49</v>
      </c>
      <c r="AI128" s="66">
        <v>2021</v>
      </c>
      <c r="AJ128" s="66">
        <v>2021</v>
      </c>
      <c r="AK128" s="15"/>
      <c r="AL128" s="15"/>
      <c r="AM128" s="15"/>
      <c r="AN128" s="15"/>
    </row>
    <row r="129" spans="1:40" ht="62.25">
      <c r="B129" s="68" t="s">
        <v>99</v>
      </c>
      <c r="C129" s="69"/>
      <c r="D129" s="65" t="s">
        <v>131</v>
      </c>
      <c r="E129" s="20">
        <f>AVERAGE(E130:E133)</f>
        <v>0.6400023136337607</v>
      </c>
      <c r="F129" s="5">
        <f>SUM(F130:F133)</f>
        <v>3091318.25</v>
      </c>
      <c r="G129" s="5">
        <f t="shared" ref="G129:AG129" si="49">SUM(G130:G133)</f>
        <v>0</v>
      </c>
      <c r="H129" s="5">
        <f t="shared" si="49"/>
        <v>0</v>
      </c>
      <c r="I129" s="5">
        <f t="shared" si="49"/>
        <v>0</v>
      </c>
      <c r="J129" s="5">
        <f t="shared" si="49"/>
        <v>0</v>
      </c>
      <c r="K129" s="5">
        <f t="shared" si="49"/>
        <v>0</v>
      </c>
      <c r="L129" s="5">
        <f t="shared" si="49"/>
        <v>0</v>
      </c>
      <c r="M129" s="24">
        <f t="shared" si="49"/>
        <v>0</v>
      </c>
      <c r="N129" s="5">
        <f t="shared" si="49"/>
        <v>0</v>
      </c>
      <c r="O129" s="5">
        <f t="shared" si="49"/>
        <v>1984</v>
      </c>
      <c r="P129" s="5">
        <f t="shared" si="49"/>
        <v>3046165.91</v>
      </c>
      <c r="Q129" s="5">
        <f t="shared" si="49"/>
        <v>0</v>
      </c>
      <c r="R129" s="5">
        <f t="shared" si="49"/>
        <v>0</v>
      </c>
      <c r="S129" s="5">
        <f t="shared" si="49"/>
        <v>0</v>
      </c>
      <c r="T129" s="5">
        <f t="shared" si="49"/>
        <v>0</v>
      </c>
      <c r="U129" s="5">
        <f t="shared" si="49"/>
        <v>0</v>
      </c>
      <c r="V129" s="5">
        <f t="shared" si="49"/>
        <v>0</v>
      </c>
      <c r="W129" s="5">
        <f t="shared" si="49"/>
        <v>0</v>
      </c>
      <c r="X129" s="5">
        <f t="shared" si="49"/>
        <v>0</v>
      </c>
      <c r="Y129" s="5">
        <f t="shared" si="49"/>
        <v>0</v>
      </c>
      <c r="Z129" s="5">
        <f t="shared" si="49"/>
        <v>0</v>
      </c>
      <c r="AA129" s="5">
        <f t="shared" si="49"/>
        <v>0</v>
      </c>
      <c r="AB129" s="5">
        <f t="shared" si="49"/>
        <v>0</v>
      </c>
      <c r="AC129" s="5">
        <f t="shared" si="49"/>
        <v>0</v>
      </c>
      <c r="AD129" s="5">
        <f t="shared" si="49"/>
        <v>0</v>
      </c>
      <c r="AE129" s="5">
        <f t="shared" si="49"/>
        <v>45152.340000000004</v>
      </c>
      <c r="AF129" s="5">
        <f t="shared" si="49"/>
        <v>0</v>
      </c>
      <c r="AG129" s="5">
        <f t="shared" si="49"/>
        <v>0</v>
      </c>
      <c r="AH129" s="66" t="s">
        <v>131</v>
      </c>
      <c r="AI129" s="66" t="s">
        <v>131</v>
      </c>
      <c r="AJ129" s="66" t="s">
        <v>131</v>
      </c>
      <c r="AK129" s="15"/>
      <c r="AL129" s="15"/>
      <c r="AM129" s="15"/>
      <c r="AN129" s="15"/>
    </row>
    <row r="130" spans="1:40" ht="62.25">
      <c r="A130" s="1">
        <v>1</v>
      </c>
      <c r="B130" s="17">
        <f>SUBTOTAL(103,$A$92:A130)</f>
        <v>34</v>
      </c>
      <c r="C130" s="64" t="s">
        <v>283</v>
      </c>
      <c r="D130" s="22" t="s">
        <v>554</v>
      </c>
      <c r="E130" s="20">
        <v>0.4062203289705193</v>
      </c>
      <c r="F130" s="5">
        <f t="shared" si="40"/>
        <v>48915.49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0</v>
      </c>
      <c r="M130" s="24">
        <v>0</v>
      </c>
      <c r="N130" s="5">
        <v>0</v>
      </c>
      <c r="O130" s="35">
        <v>412</v>
      </c>
      <c r="P130" s="5">
        <v>48428.78</v>
      </c>
      <c r="Q130" s="5">
        <v>0</v>
      </c>
      <c r="R130" s="5">
        <v>0</v>
      </c>
      <c r="S130" s="5">
        <v>0</v>
      </c>
      <c r="T130" s="67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486.71</v>
      </c>
      <c r="AF130" s="5">
        <v>0</v>
      </c>
      <c r="AG130" s="5">
        <v>0</v>
      </c>
      <c r="AH130" s="66" t="s">
        <v>49</v>
      </c>
      <c r="AI130" s="66">
        <v>2020</v>
      </c>
      <c r="AJ130" s="66">
        <v>2020</v>
      </c>
      <c r="AK130" s="15"/>
      <c r="AL130" s="15"/>
      <c r="AM130" s="15"/>
      <c r="AN130" s="15"/>
    </row>
    <row r="131" spans="1:40" ht="62.25">
      <c r="A131" s="1">
        <v>1</v>
      </c>
      <c r="B131" s="17">
        <f>SUBTOTAL(103,$A$92:A131)</f>
        <v>35</v>
      </c>
      <c r="C131" s="64" t="s">
        <v>284</v>
      </c>
      <c r="D131" s="22" t="s">
        <v>554</v>
      </c>
      <c r="E131" s="20">
        <v>0.69908892556452351</v>
      </c>
      <c r="F131" s="5">
        <f t="shared" si="40"/>
        <v>14682.87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24">
        <v>0</v>
      </c>
      <c r="N131" s="5">
        <v>0</v>
      </c>
      <c r="O131" s="5">
        <v>508</v>
      </c>
      <c r="P131" s="5">
        <v>14536.78</v>
      </c>
      <c r="Q131" s="5">
        <v>0</v>
      </c>
      <c r="R131" s="5">
        <v>0</v>
      </c>
      <c r="S131" s="5">
        <v>0</v>
      </c>
      <c r="T131" s="67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146.09</v>
      </c>
      <c r="AF131" s="5">
        <v>0</v>
      </c>
      <c r="AG131" s="5">
        <v>0</v>
      </c>
      <c r="AH131" s="66" t="s">
        <v>49</v>
      </c>
      <c r="AI131" s="66">
        <v>2020</v>
      </c>
      <c r="AJ131" s="66">
        <v>2020</v>
      </c>
      <c r="AK131" s="15"/>
      <c r="AL131" s="15"/>
      <c r="AM131" s="15"/>
      <c r="AN131" s="15"/>
    </row>
    <row r="132" spans="1:40" ht="62.25">
      <c r="A132" s="1">
        <v>1</v>
      </c>
      <c r="B132" s="17">
        <f>SUBTOTAL(103,$A$92:A132)</f>
        <v>36</v>
      </c>
      <c r="C132" s="64" t="s">
        <v>285</v>
      </c>
      <c r="D132" s="22" t="s">
        <v>554</v>
      </c>
      <c r="E132" s="20">
        <v>0.53310000000000002</v>
      </c>
      <c r="F132" s="5">
        <f t="shared" si="40"/>
        <v>2981100.72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24">
        <v>0</v>
      </c>
      <c r="N132" s="5">
        <v>0</v>
      </c>
      <c r="O132" s="5">
        <v>730</v>
      </c>
      <c r="P132" s="5">
        <v>2937045.04</v>
      </c>
      <c r="Q132" s="5">
        <v>0</v>
      </c>
      <c r="R132" s="5">
        <v>0</v>
      </c>
      <c r="S132" s="5">
        <v>0</v>
      </c>
      <c r="T132" s="67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0</v>
      </c>
      <c r="AB132" s="5">
        <v>0</v>
      </c>
      <c r="AC132" s="5">
        <v>0</v>
      </c>
      <c r="AD132" s="5">
        <v>0</v>
      </c>
      <c r="AE132" s="5">
        <f>ROUND(P132*1.5%,2)</f>
        <v>44055.68</v>
      </c>
      <c r="AF132" s="5">
        <v>0</v>
      </c>
      <c r="AG132" s="5">
        <v>0</v>
      </c>
      <c r="AH132" s="66" t="s">
        <v>49</v>
      </c>
      <c r="AI132" s="6">
        <v>2021</v>
      </c>
      <c r="AJ132" s="6">
        <v>2021</v>
      </c>
      <c r="AK132" s="15"/>
      <c r="AL132" s="15"/>
      <c r="AM132" s="15"/>
      <c r="AN132" s="15"/>
    </row>
    <row r="133" spans="1:40" ht="62.25">
      <c r="A133" s="1">
        <v>1</v>
      </c>
      <c r="B133" s="17">
        <f>SUBTOTAL(103,$A$92:A133)</f>
        <v>37</v>
      </c>
      <c r="C133" s="64" t="s">
        <v>286</v>
      </c>
      <c r="D133" s="22" t="s">
        <v>553</v>
      </c>
      <c r="E133" s="20">
        <v>0.92159999999999997</v>
      </c>
      <c r="F133" s="5">
        <f t="shared" si="40"/>
        <v>46619.17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24">
        <v>0</v>
      </c>
      <c r="N133" s="5">
        <v>0</v>
      </c>
      <c r="O133" s="5">
        <v>334</v>
      </c>
      <c r="P133" s="5">
        <v>46155.31</v>
      </c>
      <c r="Q133" s="5">
        <v>0</v>
      </c>
      <c r="R133" s="5">
        <v>0</v>
      </c>
      <c r="S133" s="5">
        <v>0</v>
      </c>
      <c r="T133" s="67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463.86</v>
      </c>
      <c r="AF133" s="5">
        <v>0</v>
      </c>
      <c r="AG133" s="5">
        <v>0</v>
      </c>
      <c r="AH133" s="66" t="s">
        <v>49</v>
      </c>
      <c r="AI133" s="66">
        <v>2020</v>
      </c>
      <c r="AJ133" s="66">
        <v>2020</v>
      </c>
      <c r="AK133" s="15"/>
      <c r="AL133" s="15"/>
      <c r="AM133" s="15"/>
      <c r="AN133" s="15"/>
    </row>
    <row r="134" spans="1:40" ht="62.25">
      <c r="B134" s="68" t="s">
        <v>91</v>
      </c>
      <c r="C134" s="69"/>
      <c r="D134" s="65" t="s">
        <v>131</v>
      </c>
      <c r="E134" s="20">
        <f>AVERAGE(E135:E160)</f>
        <v>0.86442015186858057</v>
      </c>
      <c r="F134" s="5">
        <f t="shared" ref="F134:AG134" si="50">SUM(F135:F160)</f>
        <v>9367918.0500000007</v>
      </c>
      <c r="G134" s="5">
        <f t="shared" si="50"/>
        <v>0</v>
      </c>
      <c r="H134" s="5">
        <f t="shared" si="50"/>
        <v>0</v>
      </c>
      <c r="I134" s="5">
        <f t="shared" si="50"/>
        <v>0</v>
      </c>
      <c r="J134" s="5">
        <f t="shared" si="50"/>
        <v>0</v>
      </c>
      <c r="K134" s="5">
        <f t="shared" si="50"/>
        <v>262873</v>
      </c>
      <c r="L134" s="5">
        <f t="shared" si="50"/>
        <v>0</v>
      </c>
      <c r="M134" s="5">
        <f t="shared" si="50"/>
        <v>0</v>
      </c>
      <c r="N134" s="5">
        <f t="shared" si="50"/>
        <v>0</v>
      </c>
      <c r="O134" s="5">
        <f t="shared" si="50"/>
        <v>16005.94</v>
      </c>
      <c r="P134" s="5">
        <f t="shared" si="50"/>
        <v>8328370.6500000004</v>
      </c>
      <c r="Q134" s="5">
        <f t="shared" si="50"/>
        <v>0</v>
      </c>
      <c r="R134" s="5">
        <f t="shared" si="50"/>
        <v>0</v>
      </c>
      <c r="S134" s="5">
        <f t="shared" si="50"/>
        <v>5134.45</v>
      </c>
      <c r="T134" s="5">
        <f t="shared" si="50"/>
        <v>645132.4800000001</v>
      </c>
      <c r="U134" s="5">
        <f t="shared" si="50"/>
        <v>0</v>
      </c>
      <c r="V134" s="5">
        <f t="shared" si="50"/>
        <v>0</v>
      </c>
      <c r="W134" s="5">
        <f t="shared" si="50"/>
        <v>0</v>
      </c>
      <c r="X134" s="5">
        <f t="shared" si="50"/>
        <v>0</v>
      </c>
      <c r="Y134" s="5">
        <f t="shared" si="50"/>
        <v>0</v>
      </c>
      <c r="Z134" s="5">
        <f t="shared" si="50"/>
        <v>0</v>
      </c>
      <c r="AA134" s="5">
        <f t="shared" si="50"/>
        <v>0</v>
      </c>
      <c r="AB134" s="5">
        <f t="shared" si="50"/>
        <v>0</v>
      </c>
      <c r="AC134" s="5">
        <f t="shared" si="50"/>
        <v>0</v>
      </c>
      <c r="AD134" s="5">
        <f t="shared" si="50"/>
        <v>0</v>
      </c>
      <c r="AE134" s="5">
        <f t="shared" si="50"/>
        <v>131541.91999999998</v>
      </c>
      <c r="AF134" s="5">
        <f t="shared" si="50"/>
        <v>0</v>
      </c>
      <c r="AG134" s="5">
        <f t="shared" si="50"/>
        <v>0</v>
      </c>
      <c r="AH134" s="66" t="s">
        <v>131</v>
      </c>
      <c r="AI134" s="66" t="s">
        <v>131</v>
      </c>
      <c r="AJ134" s="66" t="s">
        <v>131</v>
      </c>
      <c r="AK134" s="15"/>
      <c r="AL134" s="15"/>
      <c r="AM134" s="15"/>
      <c r="AN134" s="15"/>
    </row>
    <row r="135" spans="1:40" ht="62.25">
      <c r="A135" s="1">
        <v>1</v>
      </c>
      <c r="B135" s="17">
        <f>SUBTOTAL(103,$A$92:A135)</f>
        <v>38</v>
      </c>
      <c r="C135" s="64" t="s">
        <v>287</v>
      </c>
      <c r="D135" s="22" t="s">
        <v>553</v>
      </c>
      <c r="E135" s="20">
        <v>0.87120114478643584</v>
      </c>
      <c r="F135" s="5">
        <f t="shared" si="40"/>
        <v>13066.1</v>
      </c>
      <c r="G135" s="5">
        <v>0</v>
      </c>
      <c r="H135" s="5">
        <v>0</v>
      </c>
      <c r="I135" s="5">
        <v>0</v>
      </c>
      <c r="J135" s="5">
        <v>0</v>
      </c>
      <c r="K135" s="5">
        <v>12873</v>
      </c>
      <c r="L135" s="5">
        <v>0</v>
      </c>
      <c r="M135" s="24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67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  <c r="AB135" s="5">
        <v>0</v>
      </c>
      <c r="AC135" s="5">
        <v>0</v>
      </c>
      <c r="AD135" s="5">
        <v>0</v>
      </c>
      <c r="AE135" s="5">
        <f>ROUND(K135*1.5%,2)</f>
        <v>193.1</v>
      </c>
      <c r="AF135" s="5">
        <v>0</v>
      </c>
      <c r="AG135" s="5">
        <v>0</v>
      </c>
      <c r="AH135" s="66" t="s">
        <v>49</v>
      </c>
      <c r="AI135" s="66">
        <v>2020</v>
      </c>
      <c r="AJ135" s="66">
        <v>2020</v>
      </c>
      <c r="AK135" s="15"/>
      <c r="AL135" s="15"/>
      <c r="AM135" s="15"/>
      <c r="AN135" s="15"/>
    </row>
    <row r="136" spans="1:40" ht="62.25">
      <c r="A136" s="1">
        <v>1</v>
      </c>
      <c r="B136" s="17">
        <f>SUBTOTAL(103,$A$92:A136)</f>
        <v>39</v>
      </c>
      <c r="C136" s="64" t="s">
        <v>288</v>
      </c>
      <c r="D136" s="22" t="s">
        <v>553</v>
      </c>
      <c r="E136" s="20">
        <v>0.88725132075072177</v>
      </c>
      <c r="F136" s="5">
        <f t="shared" si="40"/>
        <v>2190830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24">
        <v>0</v>
      </c>
      <c r="N136" s="5">
        <v>0</v>
      </c>
      <c r="O136" s="5">
        <v>1600</v>
      </c>
      <c r="P136" s="5">
        <v>2158453.2000000002</v>
      </c>
      <c r="Q136" s="5">
        <v>0</v>
      </c>
      <c r="R136" s="5">
        <v>0</v>
      </c>
      <c r="S136" s="5">
        <v>0</v>
      </c>
      <c r="T136" s="67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f t="shared" ref="AE136:AE139" si="51">ROUND(P136*1.5%,2)</f>
        <v>32376.799999999999</v>
      </c>
      <c r="AF136" s="5">
        <v>0</v>
      </c>
      <c r="AG136" s="5">
        <v>0</v>
      </c>
      <c r="AH136" s="66" t="s">
        <v>49</v>
      </c>
      <c r="AI136" s="6">
        <v>2021</v>
      </c>
      <c r="AJ136" s="6">
        <v>2021</v>
      </c>
      <c r="AK136" s="15"/>
      <c r="AL136" s="15"/>
      <c r="AM136" s="15"/>
      <c r="AN136" s="15"/>
    </row>
    <row r="137" spans="1:40" ht="62.25">
      <c r="A137" s="1">
        <v>1</v>
      </c>
      <c r="B137" s="17">
        <f>SUBTOTAL(103,$A$92:A137)</f>
        <v>40</v>
      </c>
      <c r="C137" s="64" t="s">
        <v>289</v>
      </c>
      <c r="D137" s="22" t="s">
        <v>379</v>
      </c>
      <c r="E137" s="20">
        <v>0.86073469797958557</v>
      </c>
      <c r="F137" s="5">
        <f t="shared" si="40"/>
        <v>485978.33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24">
        <v>0</v>
      </c>
      <c r="N137" s="5">
        <v>0</v>
      </c>
      <c r="O137" s="5">
        <v>824.88</v>
      </c>
      <c r="P137" s="5">
        <v>478796.38</v>
      </c>
      <c r="Q137" s="5">
        <v>0</v>
      </c>
      <c r="R137" s="5">
        <v>0</v>
      </c>
      <c r="S137" s="5">
        <v>0</v>
      </c>
      <c r="T137" s="67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0</v>
      </c>
      <c r="AC137" s="5">
        <v>0</v>
      </c>
      <c r="AD137" s="5">
        <v>0</v>
      </c>
      <c r="AE137" s="5">
        <f t="shared" si="51"/>
        <v>7181.95</v>
      </c>
      <c r="AF137" s="5">
        <v>0</v>
      </c>
      <c r="AG137" s="5">
        <v>0</v>
      </c>
      <c r="AH137" s="66" t="s">
        <v>49</v>
      </c>
      <c r="AI137" s="6">
        <v>2021</v>
      </c>
      <c r="AJ137" s="6">
        <v>2021</v>
      </c>
      <c r="AK137" s="15"/>
      <c r="AL137" s="15"/>
      <c r="AM137" s="15"/>
      <c r="AN137" s="15"/>
    </row>
    <row r="138" spans="1:40" ht="62.25">
      <c r="A138" s="1">
        <v>1</v>
      </c>
      <c r="B138" s="17">
        <f>SUBTOTAL(103,$A$92:A138)</f>
        <v>41</v>
      </c>
      <c r="C138" s="64" t="s">
        <v>290</v>
      </c>
      <c r="D138" s="22" t="s">
        <v>554</v>
      </c>
      <c r="E138" s="20">
        <v>0.94940000000000002</v>
      </c>
      <c r="F138" s="5">
        <f t="shared" si="40"/>
        <v>450455.92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24">
        <v>0</v>
      </c>
      <c r="N138" s="5">
        <v>0</v>
      </c>
      <c r="O138" s="5">
        <v>477.6</v>
      </c>
      <c r="P138" s="5">
        <v>443798.94</v>
      </c>
      <c r="Q138" s="5">
        <v>0</v>
      </c>
      <c r="R138" s="5">
        <v>0</v>
      </c>
      <c r="S138" s="5">
        <v>0</v>
      </c>
      <c r="T138" s="67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0</v>
      </c>
      <c r="AC138" s="5">
        <v>0</v>
      </c>
      <c r="AD138" s="5">
        <v>0</v>
      </c>
      <c r="AE138" s="5">
        <f t="shared" si="51"/>
        <v>6656.98</v>
      </c>
      <c r="AF138" s="5">
        <v>0</v>
      </c>
      <c r="AG138" s="5">
        <v>0</v>
      </c>
      <c r="AH138" s="66" t="s">
        <v>49</v>
      </c>
      <c r="AI138" s="6">
        <v>2021</v>
      </c>
      <c r="AJ138" s="6">
        <v>2021</v>
      </c>
      <c r="AK138" s="15"/>
      <c r="AL138" s="15"/>
      <c r="AM138" s="15"/>
      <c r="AN138" s="15"/>
    </row>
    <row r="139" spans="1:40" ht="62.25">
      <c r="A139" s="1">
        <v>1</v>
      </c>
      <c r="B139" s="17">
        <f>SUBTOTAL(103,$A$92:A139)</f>
        <v>42</v>
      </c>
      <c r="C139" s="64" t="s">
        <v>291</v>
      </c>
      <c r="D139" s="22" t="s">
        <v>553</v>
      </c>
      <c r="E139" s="20">
        <v>0.50380000000000003</v>
      </c>
      <c r="F139" s="5">
        <f t="shared" si="40"/>
        <v>428766.45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  <c r="M139" s="24">
        <v>0</v>
      </c>
      <c r="N139" s="5">
        <v>0</v>
      </c>
      <c r="O139" s="5">
        <v>431.8</v>
      </c>
      <c r="P139" s="5">
        <v>422430</v>
      </c>
      <c r="Q139" s="5">
        <v>0</v>
      </c>
      <c r="R139" s="5">
        <v>0</v>
      </c>
      <c r="S139" s="5">
        <v>0</v>
      </c>
      <c r="T139" s="67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f t="shared" si="51"/>
        <v>6336.45</v>
      </c>
      <c r="AF139" s="5">
        <v>0</v>
      </c>
      <c r="AG139" s="5">
        <v>0</v>
      </c>
      <c r="AH139" s="66" t="s">
        <v>49</v>
      </c>
      <c r="AI139" s="6">
        <v>2021</v>
      </c>
      <c r="AJ139" s="6">
        <v>2021</v>
      </c>
      <c r="AK139" s="15"/>
      <c r="AL139" s="15"/>
      <c r="AM139" s="15"/>
      <c r="AN139" s="15"/>
    </row>
    <row r="140" spans="1:40" ht="62.25">
      <c r="A140" s="1">
        <v>1</v>
      </c>
      <c r="B140" s="17">
        <f>SUBTOTAL(103,$A$92:A140)</f>
        <v>43</v>
      </c>
      <c r="C140" s="64" t="s">
        <v>292</v>
      </c>
      <c r="D140" s="22" t="s">
        <v>553</v>
      </c>
      <c r="E140" s="20">
        <v>0.93600000000000005</v>
      </c>
      <c r="F140" s="5">
        <f t="shared" si="40"/>
        <v>1170243.6200000001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24">
        <v>0</v>
      </c>
      <c r="N140" s="5">
        <v>0</v>
      </c>
      <c r="O140" s="5">
        <v>1110</v>
      </c>
      <c r="P140" s="5">
        <v>1158771.78</v>
      </c>
      <c r="Q140" s="5">
        <v>0</v>
      </c>
      <c r="R140" s="5">
        <v>0</v>
      </c>
      <c r="S140" s="5">
        <v>0</v>
      </c>
      <c r="T140" s="67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11471.84</v>
      </c>
      <c r="AF140" s="5">
        <v>0</v>
      </c>
      <c r="AG140" s="5">
        <v>0</v>
      </c>
      <c r="AH140" s="66" t="s">
        <v>49</v>
      </c>
      <c r="AI140" s="66">
        <v>2020</v>
      </c>
      <c r="AJ140" s="66">
        <v>2020</v>
      </c>
      <c r="AK140" s="15"/>
      <c r="AL140" s="15"/>
      <c r="AM140" s="15"/>
      <c r="AN140" s="15"/>
    </row>
    <row r="141" spans="1:40" ht="62.25">
      <c r="A141" s="1">
        <v>1</v>
      </c>
      <c r="B141" s="17">
        <f>SUBTOTAL(103,$A$92:A141)</f>
        <v>44</v>
      </c>
      <c r="C141" s="64" t="s">
        <v>293</v>
      </c>
      <c r="D141" s="22" t="s">
        <v>553</v>
      </c>
      <c r="E141" s="20">
        <v>0.91669999999999996</v>
      </c>
      <c r="F141" s="5">
        <f t="shared" si="40"/>
        <v>82236.160000000003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24">
        <v>0</v>
      </c>
      <c r="N141" s="5">
        <v>0</v>
      </c>
      <c r="O141" s="5">
        <v>1586.2</v>
      </c>
      <c r="P141" s="5">
        <v>81430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806.16</v>
      </c>
      <c r="AF141" s="5">
        <v>0</v>
      </c>
      <c r="AG141" s="5">
        <v>0</v>
      </c>
      <c r="AH141" s="66" t="s">
        <v>49</v>
      </c>
      <c r="AI141" s="66">
        <v>2020</v>
      </c>
      <c r="AJ141" s="66">
        <v>2020</v>
      </c>
      <c r="AK141" s="15"/>
      <c r="AL141" s="15"/>
      <c r="AM141" s="15"/>
      <c r="AN141" s="15"/>
    </row>
    <row r="142" spans="1:40" ht="62.25">
      <c r="A142" s="1">
        <v>1</v>
      </c>
      <c r="B142" s="17">
        <f>SUBTOTAL(103,$A$92:A142)</f>
        <v>45</v>
      </c>
      <c r="C142" s="64" t="s">
        <v>294</v>
      </c>
      <c r="D142" s="26" t="s">
        <v>553</v>
      </c>
      <c r="E142" s="20">
        <v>0.86950000000000005</v>
      </c>
      <c r="F142" s="5">
        <f t="shared" si="40"/>
        <v>253750</v>
      </c>
      <c r="G142" s="5">
        <v>0</v>
      </c>
      <c r="H142" s="5">
        <v>0</v>
      </c>
      <c r="I142" s="5">
        <v>0</v>
      </c>
      <c r="J142" s="5">
        <v>0</v>
      </c>
      <c r="K142" s="5">
        <v>250000</v>
      </c>
      <c r="L142" s="5">
        <v>0</v>
      </c>
      <c r="M142" s="24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f>ROUND(K142*1.5%,2)</f>
        <v>3750</v>
      </c>
      <c r="AF142" s="5">
        <v>0</v>
      </c>
      <c r="AG142" s="5">
        <v>0</v>
      </c>
      <c r="AH142" s="66" t="s">
        <v>49</v>
      </c>
      <c r="AI142" s="6">
        <v>2021</v>
      </c>
      <c r="AJ142" s="6">
        <v>2021</v>
      </c>
      <c r="AK142" s="15"/>
      <c r="AL142" s="15"/>
      <c r="AM142" s="15"/>
      <c r="AN142" s="15"/>
    </row>
    <row r="143" spans="1:40" ht="62.25">
      <c r="A143" s="1">
        <v>1</v>
      </c>
      <c r="B143" s="17">
        <f>SUBTOTAL(103,$A$92:A143)</f>
        <v>46</v>
      </c>
      <c r="C143" s="64" t="s">
        <v>295</v>
      </c>
      <c r="D143" s="22" t="s">
        <v>553</v>
      </c>
      <c r="E143" s="20">
        <v>0.94930000000000003</v>
      </c>
      <c r="F143" s="5">
        <f t="shared" si="40"/>
        <v>23581.1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24">
        <v>0</v>
      </c>
      <c r="N143" s="5">
        <v>0</v>
      </c>
      <c r="O143" s="5">
        <v>649.79999999999995</v>
      </c>
      <c r="P143" s="5">
        <v>23349.94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231.16</v>
      </c>
      <c r="AF143" s="5">
        <v>0</v>
      </c>
      <c r="AG143" s="5">
        <v>0</v>
      </c>
      <c r="AH143" s="66" t="s">
        <v>49</v>
      </c>
      <c r="AI143" s="66">
        <v>2020</v>
      </c>
      <c r="AJ143" s="66">
        <v>2020</v>
      </c>
      <c r="AK143" s="15"/>
      <c r="AL143" s="15"/>
      <c r="AM143" s="15"/>
      <c r="AN143" s="15"/>
    </row>
    <row r="144" spans="1:40" ht="62.25">
      <c r="A144" s="1">
        <v>1</v>
      </c>
      <c r="B144" s="17">
        <f>SUBTOTAL(103,$A$92:A144)</f>
        <v>47</v>
      </c>
      <c r="C144" s="64" t="s">
        <v>296</v>
      </c>
      <c r="D144" s="22" t="s">
        <v>554</v>
      </c>
      <c r="E144" s="20">
        <v>0.79333438101544396</v>
      </c>
      <c r="F144" s="5">
        <f t="shared" si="40"/>
        <v>1177488.75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24">
        <v>0</v>
      </c>
      <c r="N144" s="5">
        <v>0</v>
      </c>
      <c r="O144" s="5">
        <v>1265</v>
      </c>
      <c r="P144" s="5">
        <v>1160087.44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f>ROUND(P144*1.5%,2)</f>
        <v>17401.310000000001</v>
      </c>
      <c r="AF144" s="5">
        <v>0</v>
      </c>
      <c r="AG144" s="5">
        <v>0</v>
      </c>
      <c r="AH144" s="66" t="s">
        <v>49</v>
      </c>
      <c r="AI144" s="66">
        <v>2020</v>
      </c>
      <c r="AJ144" s="66">
        <v>2020</v>
      </c>
      <c r="AK144" s="15"/>
      <c r="AL144" s="15"/>
      <c r="AM144" s="15"/>
      <c r="AN144" s="15"/>
    </row>
    <row r="145" spans="1:40" ht="62.25">
      <c r="A145" s="1">
        <v>1</v>
      </c>
      <c r="B145" s="17">
        <f>SUBTOTAL(103,$A$92:A145)</f>
        <v>48</v>
      </c>
      <c r="C145" s="64" t="s">
        <v>297</v>
      </c>
      <c r="D145" s="22" t="s">
        <v>553</v>
      </c>
      <c r="E145" s="20">
        <v>0.91920000000000002</v>
      </c>
      <c r="F145" s="5">
        <f t="shared" si="40"/>
        <v>186610.06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24">
        <v>0</v>
      </c>
      <c r="N145" s="5">
        <v>0</v>
      </c>
      <c r="O145" s="5">
        <v>1166</v>
      </c>
      <c r="P145" s="5">
        <v>183852.28</v>
      </c>
      <c r="Q145" s="5">
        <v>0</v>
      </c>
      <c r="R145" s="5">
        <v>0</v>
      </c>
      <c r="S145" s="5">
        <v>0</v>
      </c>
      <c r="T145" s="67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f>ROUND(P145*1.5%,2)</f>
        <v>2757.78</v>
      </c>
      <c r="AF145" s="5">
        <v>0</v>
      </c>
      <c r="AG145" s="5">
        <v>0</v>
      </c>
      <c r="AH145" s="66" t="s">
        <v>49</v>
      </c>
      <c r="AI145" s="6">
        <v>2021</v>
      </c>
      <c r="AJ145" s="6">
        <v>2021</v>
      </c>
      <c r="AK145" s="15"/>
      <c r="AL145" s="15"/>
      <c r="AM145" s="15"/>
      <c r="AN145" s="15"/>
    </row>
    <row r="146" spans="1:40" ht="62.25">
      <c r="A146" s="1">
        <v>1</v>
      </c>
      <c r="B146" s="17">
        <f>SUBTOTAL(103,$A$92:A146)</f>
        <v>49</v>
      </c>
      <c r="C146" s="64" t="s">
        <v>298</v>
      </c>
      <c r="D146" s="26" t="s">
        <v>554</v>
      </c>
      <c r="E146" s="20">
        <v>0.80210000000000004</v>
      </c>
      <c r="F146" s="5">
        <f t="shared" si="40"/>
        <v>69345.69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24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276.85000000000002</v>
      </c>
      <c r="T146" s="5">
        <v>68320.88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f>ROUND(T146*1.5%,2)</f>
        <v>1024.81</v>
      </c>
      <c r="AF146" s="5">
        <v>0</v>
      </c>
      <c r="AG146" s="5">
        <v>0</v>
      </c>
      <c r="AH146" s="66" t="s">
        <v>49</v>
      </c>
      <c r="AI146" s="6">
        <v>2021</v>
      </c>
      <c r="AJ146" s="6">
        <v>2021</v>
      </c>
      <c r="AK146" s="15"/>
      <c r="AL146" s="15"/>
      <c r="AM146" s="15"/>
      <c r="AN146" s="15"/>
    </row>
    <row r="147" spans="1:40" ht="62.25">
      <c r="A147" s="1">
        <v>1</v>
      </c>
      <c r="B147" s="17">
        <f>SUBTOTAL(103,$A$92:A147)</f>
        <v>50</v>
      </c>
      <c r="C147" s="64" t="s">
        <v>299</v>
      </c>
      <c r="D147" s="22" t="s">
        <v>554</v>
      </c>
      <c r="E147" s="20">
        <v>0.98829999999999996</v>
      </c>
      <c r="F147" s="5">
        <f t="shared" si="40"/>
        <v>49508.61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24">
        <v>0</v>
      </c>
      <c r="N147" s="5">
        <v>0</v>
      </c>
      <c r="O147" s="5">
        <v>284.39999999999998</v>
      </c>
      <c r="P147" s="5">
        <v>48776.959999999999</v>
      </c>
      <c r="Q147" s="5">
        <v>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0</v>
      </c>
      <c r="AB147" s="5">
        <v>0</v>
      </c>
      <c r="AC147" s="5">
        <v>0</v>
      </c>
      <c r="AD147" s="5">
        <v>0</v>
      </c>
      <c r="AE147" s="5">
        <f>ROUND(P147*1.5%,2)</f>
        <v>731.65</v>
      </c>
      <c r="AF147" s="5">
        <v>0</v>
      </c>
      <c r="AG147" s="5">
        <v>0</v>
      </c>
      <c r="AH147" s="66" t="s">
        <v>49</v>
      </c>
      <c r="AI147" s="6">
        <v>2021</v>
      </c>
      <c r="AJ147" s="6">
        <v>2021</v>
      </c>
      <c r="AK147" s="15"/>
      <c r="AL147" s="15"/>
      <c r="AM147" s="15"/>
      <c r="AN147" s="15"/>
    </row>
    <row r="148" spans="1:40" ht="62.25">
      <c r="A148" s="1">
        <v>1</v>
      </c>
      <c r="B148" s="17">
        <f>SUBTOTAL(103,$A$92:A148)</f>
        <v>51</v>
      </c>
      <c r="C148" s="64" t="s">
        <v>300</v>
      </c>
      <c r="D148" s="22" t="s">
        <v>554</v>
      </c>
      <c r="E148" s="20">
        <v>0.86109999999999998</v>
      </c>
      <c r="F148" s="5">
        <f t="shared" si="40"/>
        <v>194179.65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24">
        <v>0</v>
      </c>
      <c r="N148" s="5">
        <v>0</v>
      </c>
      <c r="O148" s="5">
        <v>1539</v>
      </c>
      <c r="P148" s="5">
        <v>191310</v>
      </c>
      <c r="Q148" s="5">
        <v>0</v>
      </c>
      <c r="R148" s="5">
        <v>0</v>
      </c>
      <c r="S148" s="5">
        <v>0</v>
      </c>
      <c r="T148" s="67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f>ROUND(P148*1.5%,2)</f>
        <v>2869.65</v>
      </c>
      <c r="AF148" s="5">
        <v>0</v>
      </c>
      <c r="AG148" s="5">
        <v>0</v>
      </c>
      <c r="AH148" s="66" t="s">
        <v>49</v>
      </c>
      <c r="AI148" s="6">
        <v>2021</v>
      </c>
      <c r="AJ148" s="6">
        <v>2021</v>
      </c>
      <c r="AK148" s="15"/>
      <c r="AL148" s="15"/>
      <c r="AM148" s="15"/>
      <c r="AN148" s="15"/>
    </row>
    <row r="149" spans="1:40" ht="62.25">
      <c r="A149" s="1">
        <v>1</v>
      </c>
      <c r="B149" s="17">
        <f>SUBTOTAL(103,$A$92:A149)</f>
        <v>52</v>
      </c>
      <c r="C149" s="64" t="s">
        <v>301</v>
      </c>
      <c r="D149" s="22" t="s">
        <v>554</v>
      </c>
      <c r="E149" s="20">
        <v>0.85870000000000002</v>
      </c>
      <c r="F149" s="5">
        <f t="shared" si="40"/>
        <v>874380.28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24">
        <v>0</v>
      </c>
      <c r="N149" s="5">
        <v>0</v>
      </c>
      <c r="O149" s="5">
        <v>748</v>
      </c>
      <c r="P149" s="5">
        <v>861458.4</v>
      </c>
      <c r="Q149" s="5">
        <v>0</v>
      </c>
      <c r="R149" s="5">
        <v>0</v>
      </c>
      <c r="S149" s="5">
        <v>0</v>
      </c>
      <c r="T149" s="67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f>ROUND(P149*1.5%,2)</f>
        <v>12921.88</v>
      </c>
      <c r="AF149" s="5">
        <v>0</v>
      </c>
      <c r="AG149" s="5">
        <v>0</v>
      </c>
      <c r="AH149" s="66" t="s">
        <v>49</v>
      </c>
      <c r="AI149" s="6">
        <v>2021</v>
      </c>
      <c r="AJ149" s="6">
        <v>2021</v>
      </c>
      <c r="AK149" s="15"/>
      <c r="AL149" s="15"/>
      <c r="AM149" s="15"/>
      <c r="AN149" s="15"/>
    </row>
    <row r="150" spans="1:40" ht="62.25">
      <c r="A150" s="1">
        <v>1</v>
      </c>
      <c r="B150" s="17">
        <f>SUBTOTAL(103,$A$92:A150)</f>
        <v>53</v>
      </c>
      <c r="C150" s="64" t="s">
        <v>302</v>
      </c>
      <c r="D150" s="26">
        <v>2015</v>
      </c>
      <c r="E150" s="20">
        <v>0.9476</v>
      </c>
      <c r="F150" s="5">
        <f t="shared" si="40"/>
        <v>37308.06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24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174</v>
      </c>
      <c r="T150" s="67">
        <v>37308.06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66" t="s">
        <v>49</v>
      </c>
      <c r="AI150" s="6">
        <v>2020</v>
      </c>
      <c r="AJ150" s="6" t="s">
        <v>49</v>
      </c>
      <c r="AK150" s="15"/>
      <c r="AL150" s="15"/>
      <c r="AM150" s="15"/>
      <c r="AN150" s="15"/>
    </row>
    <row r="151" spans="1:40" ht="62.25">
      <c r="A151" s="1">
        <v>1</v>
      </c>
      <c r="B151" s="17">
        <f>SUBTOTAL(103,$A$92:A151)</f>
        <v>54</v>
      </c>
      <c r="C151" s="64" t="s">
        <v>303</v>
      </c>
      <c r="D151" s="22" t="s">
        <v>554</v>
      </c>
      <c r="E151" s="20">
        <v>0.94679999999999997</v>
      </c>
      <c r="F151" s="5">
        <f t="shared" si="40"/>
        <v>41021.47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24">
        <v>0</v>
      </c>
      <c r="N151" s="5">
        <v>0</v>
      </c>
      <c r="O151" s="5">
        <v>289.66000000000003</v>
      </c>
      <c r="P151" s="5">
        <v>40415.24</v>
      </c>
      <c r="Q151" s="5">
        <v>0</v>
      </c>
      <c r="R151" s="5">
        <v>0</v>
      </c>
      <c r="S151" s="5">
        <v>0</v>
      </c>
      <c r="T151" s="67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f>ROUND(P151*1.5%,2)</f>
        <v>606.23</v>
      </c>
      <c r="AF151" s="5">
        <v>0</v>
      </c>
      <c r="AG151" s="5">
        <v>0</v>
      </c>
      <c r="AH151" s="66" t="s">
        <v>49</v>
      </c>
      <c r="AI151" s="6">
        <v>2021</v>
      </c>
      <c r="AJ151" s="6">
        <v>2021</v>
      </c>
      <c r="AK151" s="15"/>
      <c r="AL151" s="15"/>
      <c r="AM151" s="15"/>
      <c r="AN151" s="15"/>
    </row>
    <row r="152" spans="1:40" ht="62.25">
      <c r="A152" s="1">
        <v>1</v>
      </c>
      <c r="B152" s="17">
        <f>SUBTOTAL(103,$A$92:A152)</f>
        <v>55</v>
      </c>
      <c r="C152" s="64" t="s">
        <v>304</v>
      </c>
      <c r="D152" s="26" t="s">
        <v>379</v>
      </c>
      <c r="E152" s="20">
        <v>0.92569999999999997</v>
      </c>
      <c r="F152" s="5">
        <f t="shared" si="40"/>
        <v>504846.64999999997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24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3007.6</v>
      </c>
      <c r="T152" s="67">
        <v>497385.86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f>ROUND(T152*1.5%,2)</f>
        <v>7460.79</v>
      </c>
      <c r="AF152" s="5">
        <v>0</v>
      </c>
      <c r="AG152" s="5">
        <v>0</v>
      </c>
      <c r="AH152" s="66" t="s">
        <v>49</v>
      </c>
      <c r="AI152" s="6">
        <v>2021</v>
      </c>
      <c r="AJ152" s="6">
        <v>2021</v>
      </c>
      <c r="AK152" s="15"/>
      <c r="AL152" s="15"/>
      <c r="AM152" s="15"/>
      <c r="AN152" s="15"/>
    </row>
    <row r="153" spans="1:40" ht="62.25">
      <c r="A153" s="1">
        <v>1</v>
      </c>
      <c r="B153" s="17">
        <f>SUBTOTAL(103,$A$92:A153)</f>
        <v>56</v>
      </c>
      <c r="C153" s="64" t="s">
        <v>347</v>
      </c>
      <c r="D153" s="26" t="s">
        <v>379</v>
      </c>
      <c r="E153" s="20">
        <v>0.80649999999999999</v>
      </c>
      <c r="F153" s="5">
        <f t="shared" si="40"/>
        <v>42749.45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24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1676</v>
      </c>
      <c r="T153" s="67">
        <v>42117.68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f>ROUND(T153*1.5%,2)</f>
        <v>631.77</v>
      </c>
      <c r="AF153" s="5">
        <v>0</v>
      </c>
      <c r="AG153" s="5">
        <v>0</v>
      </c>
      <c r="AH153" s="66" t="s">
        <v>49</v>
      </c>
      <c r="AI153" s="6">
        <v>2020</v>
      </c>
      <c r="AJ153" s="6">
        <v>2020</v>
      </c>
      <c r="AK153" s="15"/>
      <c r="AL153" s="15"/>
      <c r="AM153" s="15"/>
      <c r="AN153" s="15"/>
    </row>
    <row r="154" spans="1:40" ht="62.25">
      <c r="A154" s="1">
        <v>1</v>
      </c>
      <c r="B154" s="17">
        <f>SUBTOTAL(103,$A$92:A154)</f>
        <v>57</v>
      </c>
      <c r="C154" s="64" t="s">
        <v>348</v>
      </c>
      <c r="D154" s="22" t="s">
        <v>554</v>
      </c>
      <c r="E154" s="20">
        <v>0.79520000000000002</v>
      </c>
      <c r="F154" s="5">
        <f t="shared" si="40"/>
        <v>81763.55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24">
        <v>0</v>
      </c>
      <c r="N154" s="5">
        <v>0</v>
      </c>
      <c r="O154" s="5">
        <v>352</v>
      </c>
      <c r="P154" s="5">
        <v>80555.22</v>
      </c>
      <c r="Q154" s="5">
        <v>0</v>
      </c>
      <c r="R154" s="5">
        <v>0</v>
      </c>
      <c r="S154" s="5">
        <v>0</v>
      </c>
      <c r="T154" s="67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f t="shared" ref="AE154:AE160" si="52">ROUND(P154*1.5%,2)</f>
        <v>1208.33</v>
      </c>
      <c r="AF154" s="5">
        <v>0</v>
      </c>
      <c r="AG154" s="5">
        <v>0</v>
      </c>
      <c r="AH154" s="66" t="s">
        <v>49</v>
      </c>
      <c r="AI154" s="66">
        <v>2020</v>
      </c>
      <c r="AJ154" s="66">
        <v>2020</v>
      </c>
      <c r="AK154" s="15"/>
      <c r="AL154" s="15"/>
      <c r="AM154" s="15"/>
      <c r="AN154" s="15"/>
    </row>
    <row r="155" spans="1:40" ht="62.25">
      <c r="A155" s="1">
        <v>1</v>
      </c>
      <c r="B155" s="17">
        <f>SUBTOTAL(103,$A$92:A155)</f>
        <v>58</v>
      </c>
      <c r="C155" s="64" t="s">
        <v>349</v>
      </c>
      <c r="D155" s="22" t="s">
        <v>379</v>
      </c>
      <c r="E155" s="20">
        <v>0.76160000000000005</v>
      </c>
      <c r="F155" s="5">
        <f>G155+H155+I155+J155+K155+L155+N155+P155+R155+T155+V155+W155+X155+Y155+Z155+AA155+AB155+AC155+AD155+AE155+AF155+AG155</f>
        <v>7245.74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24">
        <v>0</v>
      </c>
      <c r="N155" s="5">
        <v>0</v>
      </c>
      <c r="O155" s="5">
        <v>910</v>
      </c>
      <c r="P155" s="5">
        <v>7138.66</v>
      </c>
      <c r="Q155" s="5">
        <v>0</v>
      </c>
      <c r="R155" s="5">
        <v>0</v>
      </c>
      <c r="S155" s="5">
        <v>0</v>
      </c>
      <c r="T155" s="67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f t="shared" si="52"/>
        <v>107.08</v>
      </c>
      <c r="AF155" s="5">
        <v>0</v>
      </c>
      <c r="AG155" s="5">
        <v>0</v>
      </c>
      <c r="AH155" s="66" t="s">
        <v>49</v>
      </c>
      <c r="AI155" s="6">
        <v>2021</v>
      </c>
      <c r="AJ155" s="6">
        <v>2021</v>
      </c>
      <c r="AK155" s="15"/>
      <c r="AL155" s="15"/>
      <c r="AM155" s="15"/>
      <c r="AN155" s="15"/>
    </row>
    <row r="156" spans="1:40" ht="62.25">
      <c r="A156" s="1">
        <v>1</v>
      </c>
      <c r="B156" s="17">
        <f>SUBTOTAL(103,$A$92:A156)</f>
        <v>59</v>
      </c>
      <c r="C156" s="64" t="s">
        <v>392</v>
      </c>
      <c r="D156" s="22" t="s">
        <v>553</v>
      </c>
      <c r="E156" s="20">
        <v>0.95309999999999995</v>
      </c>
      <c r="F156" s="5">
        <f t="shared" si="40"/>
        <v>16859.560000000001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24">
        <v>0</v>
      </c>
      <c r="N156" s="5">
        <v>0</v>
      </c>
      <c r="O156" s="5">
        <v>900</v>
      </c>
      <c r="P156" s="5">
        <v>16610.400000000001</v>
      </c>
      <c r="Q156" s="5">
        <v>0</v>
      </c>
      <c r="R156" s="5">
        <v>0</v>
      </c>
      <c r="S156" s="5">
        <v>0</v>
      </c>
      <c r="T156" s="67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f t="shared" si="52"/>
        <v>249.16</v>
      </c>
      <c r="AF156" s="5">
        <v>0</v>
      </c>
      <c r="AG156" s="5">
        <v>0</v>
      </c>
      <c r="AH156" s="66" t="s">
        <v>49</v>
      </c>
      <c r="AI156" s="6">
        <v>2021</v>
      </c>
      <c r="AJ156" s="6">
        <v>2021</v>
      </c>
      <c r="AK156" s="15"/>
      <c r="AL156" s="15"/>
      <c r="AM156" s="15"/>
      <c r="AN156" s="15"/>
    </row>
    <row r="157" spans="1:40" ht="62.25">
      <c r="A157" s="1">
        <v>1</v>
      </c>
      <c r="B157" s="17">
        <f>SUBTOTAL(103,$A$92:A157)</f>
        <v>60</v>
      </c>
      <c r="C157" s="64" t="s">
        <v>559</v>
      </c>
      <c r="D157" s="22" t="s">
        <v>553</v>
      </c>
      <c r="E157" s="20">
        <v>0.88386686541757653</v>
      </c>
      <c r="F157" s="5">
        <f t="shared" ref="F157:F160" si="53">P157+AE157</f>
        <v>27161.4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24">
        <v>0</v>
      </c>
      <c r="N157" s="5">
        <v>0</v>
      </c>
      <c r="O157" s="5">
        <v>345.6</v>
      </c>
      <c r="P157" s="5">
        <v>26760</v>
      </c>
      <c r="Q157" s="5">
        <v>0</v>
      </c>
      <c r="R157" s="5">
        <v>0</v>
      </c>
      <c r="S157" s="5">
        <v>0</v>
      </c>
      <c r="T157" s="67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f t="shared" si="52"/>
        <v>401.4</v>
      </c>
      <c r="AF157" s="5">
        <v>0</v>
      </c>
      <c r="AG157" s="5">
        <v>0</v>
      </c>
      <c r="AH157" s="66" t="s">
        <v>49</v>
      </c>
      <c r="AI157" s="66">
        <v>2021</v>
      </c>
      <c r="AJ157" s="66">
        <v>2021</v>
      </c>
      <c r="AK157" s="15"/>
      <c r="AL157" s="15"/>
      <c r="AM157" s="15"/>
      <c r="AN157" s="15"/>
    </row>
    <row r="158" spans="1:40" ht="62.25">
      <c r="A158" s="1">
        <v>1</v>
      </c>
      <c r="B158" s="17">
        <f>SUBTOTAL(103,$A$92:A158)</f>
        <v>61</v>
      </c>
      <c r="C158" s="64" t="s">
        <v>560</v>
      </c>
      <c r="D158" s="22" t="s">
        <v>553</v>
      </c>
      <c r="E158" s="20">
        <v>0.90569999999999995</v>
      </c>
      <c r="F158" s="5">
        <f t="shared" si="53"/>
        <v>843836.3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24">
        <v>0</v>
      </c>
      <c r="N158" s="5">
        <v>0</v>
      </c>
      <c r="O158" s="5">
        <v>570</v>
      </c>
      <c r="P158" s="5">
        <v>831365.81</v>
      </c>
      <c r="Q158" s="5">
        <v>0</v>
      </c>
      <c r="R158" s="5">
        <v>0</v>
      </c>
      <c r="S158" s="5">
        <v>0</v>
      </c>
      <c r="T158" s="67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f t="shared" si="52"/>
        <v>12470.49</v>
      </c>
      <c r="AF158" s="5">
        <v>0</v>
      </c>
      <c r="AG158" s="5">
        <v>0</v>
      </c>
      <c r="AH158" s="66" t="s">
        <v>49</v>
      </c>
      <c r="AI158" s="66">
        <v>2021</v>
      </c>
      <c r="AJ158" s="66">
        <v>2021</v>
      </c>
      <c r="AK158" s="15"/>
      <c r="AL158" s="15"/>
      <c r="AM158" s="15"/>
      <c r="AN158" s="15"/>
    </row>
    <row r="159" spans="1:40" ht="62.25">
      <c r="A159" s="1">
        <v>1</v>
      </c>
      <c r="B159" s="17">
        <f>SUBTOTAL(103,$A$92:A159)</f>
        <v>62</v>
      </c>
      <c r="C159" s="64" t="s">
        <v>561</v>
      </c>
      <c r="D159" s="22" t="s">
        <v>554</v>
      </c>
      <c r="E159" s="20">
        <v>0.76750579810492481</v>
      </c>
      <c r="F159" s="5">
        <f t="shared" si="53"/>
        <v>92522.930000000008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24">
        <v>0</v>
      </c>
      <c r="N159" s="5">
        <v>0</v>
      </c>
      <c r="O159" s="5">
        <v>425</v>
      </c>
      <c r="P159" s="5">
        <v>91155.6</v>
      </c>
      <c r="Q159" s="5">
        <v>0</v>
      </c>
      <c r="R159" s="5">
        <v>0</v>
      </c>
      <c r="S159" s="5">
        <v>0</v>
      </c>
      <c r="T159" s="67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f t="shared" si="52"/>
        <v>1367.33</v>
      </c>
      <c r="AF159" s="5">
        <v>0</v>
      </c>
      <c r="AG159" s="5">
        <v>0</v>
      </c>
      <c r="AH159" s="66" t="s">
        <v>49</v>
      </c>
      <c r="AI159" s="66">
        <v>2021</v>
      </c>
      <c r="AJ159" s="66">
        <v>2021</v>
      </c>
      <c r="AK159" s="15"/>
      <c r="AL159" s="15"/>
      <c r="AM159" s="15"/>
      <c r="AN159" s="15"/>
    </row>
    <row r="160" spans="1:40" ht="62.25">
      <c r="A160" s="1">
        <v>1</v>
      </c>
      <c r="B160" s="17">
        <f>SUBTOTAL(103,$A$92:A160)</f>
        <v>63</v>
      </c>
      <c r="C160" s="64" t="s">
        <v>562</v>
      </c>
      <c r="D160" s="22" t="s">
        <v>554</v>
      </c>
      <c r="E160" s="20">
        <v>0.81472974052840219</v>
      </c>
      <c r="F160" s="5">
        <f t="shared" si="53"/>
        <v>22182.22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24">
        <v>0</v>
      </c>
      <c r="N160" s="5">
        <v>0</v>
      </c>
      <c r="O160" s="5">
        <v>531</v>
      </c>
      <c r="P160" s="5">
        <v>21854.400000000001</v>
      </c>
      <c r="Q160" s="5">
        <v>0</v>
      </c>
      <c r="R160" s="5">
        <v>0</v>
      </c>
      <c r="S160" s="5">
        <v>0</v>
      </c>
      <c r="T160" s="67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f t="shared" si="52"/>
        <v>327.82</v>
      </c>
      <c r="AF160" s="5">
        <v>0</v>
      </c>
      <c r="AG160" s="5">
        <v>0</v>
      </c>
      <c r="AH160" s="66" t="s">
        <v>49</v>
      </c>
      <c r="AI160" s="66">
        <v>2021</v>
      </c>
      <c r="AJ160" s="66">
        <v>2021</v>
      </c>
      <c r="AK160" s="15"/>
      <c r="AL160" s="15"/>
      <c r="AM160" s="15"/>
      <c r="AN160" s="15"/>
    </row>
    <row r="161" spans="1:40" ht="62.25">
      <c r="B161" s="68" t="s">
        <v>258</v>
      </c>
      <c r="C161" s="69"/>
      <c r="D161" s="65" t="s">
        <v>131</v>
      </c>
      <c r="E161" s="20">
        <f>AVERAGE(E162:E176)</f>
        <v>0.90385558590968551</v>
      </c>
      <c r="F161" s="5">
        <f>SUM(F162:F176)</f>
        <v>5316085.62</v>
      </c>
      <c r="G161" s="5">
        <f t="shared" ref="G161:AG161" si="54">SUM(G162:G176)</f>
        <v>0</v>
      </c>
      <c r="H161" s="5">
        <f t="shared" si="54"/>
        <v>0</v>
      </c>
      <c r="I161" s="5">
        <f t="shared" si="54"/>
        <v>0</v>
      </c>
      <c r="J161" s="5">
        <f t="shared" si="54"/>
        <v>0</v>
      </c>
      <c r="K161" s="5">
        <f t="shared" si="54"/>
        <v>0</v>
      </c>
      <c r="L161" s="5">
        <f t="shared" si="54"/>
        <v>0</v>
      </c>
      <c r="M161" s="5">
        <f t="shared" si="54"/>
        <v>0</v>
      </c>
      <c r="N161" s="5">
        <f t="shared" si="54"/>
        <v>0</v>
      </c>
      <c r="O161" s="5">
        <f t="shared" si="54"/>
        <v>14263</v>
      </c>
      <c r="P161" s="5">
        <f t="shared" si="54"/>
        <v>5168595.97</v>
      </c>
      <c r="Q161" s="5">
        <f t="shared" si="54"/>
        <v>0</v>
      </c>
      <c r="R161" s="5">
        <f t="shared" si="54"/>
        <v>0</v>
      </c>
      <c r="S161" s="5">
        <f t="shared" si="54"/>
        <v>0</v>
      </c>
      <c r="T161" s="5">
        <f t="shared" si="54"/>
        <v>0</v>
      </c>
      <c r="U161" s="5">
        <f t="shared" si="54"/>
        <v>0</v>
      </c>
      <c r="V161" s="5">
        <f t="shared" si="54"/>
        <v>0</v>
      </c>
      <c r="W161" s="5">
        <f t="shared" si="54"/>
        <v>0</v>
      </c>
      <c r="X161" s="5">
        <f t="shared" si="54"/>
        <v>69998</v>
      </c>
      <c r="Y161" s="5">
        <f t="shared" si="54"/>
        <v>0</v>
      </c>
      <c r="Z161" s="5">
        <f t="shared" si="54"/>
        <v>0</v>
      </c>
      <c r="AA161" s="5">
        <f t="shared" si="54"/>
        <v>0</v>
      </c>
      <c r="AB161" s="5">
        <f t="shared" si="54"/>
        <v>0</v>
      </c>
      <c r="AC161" s="5">
        <f t="shared" si="54"/>
        <v>0</v>
      </c>
      <c r="AD161" s="5">
        <f t="shared" si="54"/>
        <v>0</v>
      </c>
      <c r="AE161" s="5">
        <f t="shared" si="54"/>
        <v>77491.650000000009</v>
      </c>
      <c r="AF161" s="5">
        <f t="shared" si="54"/>
        <v>0</v>
      </c>
      <c r="AG161" s="5">
        <f t="shared" si="54"/>
        <v>0</v>
      </c>
      <c r="AH161" s="66" t="s">
        <v>131</v>
      </c>
      <c r="AI161" s="66" t="s">
        <v>131</v>
      </c>
      <c r="AJ161" s="66" t="s">
        <v>131</v>
      </c>
      <c r="AK161" s="15"/>
      <c r="AL161" s="15"/>
      <c r="AM161" s="15"/>
      <c r="AN161" s="15"/>
    </row>
    <row r="162" spans="1:40" ht="62.25">
      <c r="A162" s="1">
        <v>1</v>
      </c>
      <c r="B162" s="17">
        <f>SUBTOTAL(103,$A$92:A162)</f>
        <v>64</v>
      </c>
      <c r="C162" s="64" t="s">
        <v>305</v>
      </c>
      <c r="D162" s="22" t="s">
        <v>554</v>
      </c>
      <c r="E162" s="20">
        <v>0.95770131483230581</v>
      </c>
      <c r="F162" s="5">
        <f t="shared" si="40"/>
        <v>1768733.14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24">
        <v>0</v>
      </c>
      <c r="N162" s="5">
        <v>0</v>
      </c>
      <c r="O162" s="5">
        <v>2039</v>
      </c>
      <c r="P162" s="5">
        <v>1742723</v>
      </c>
      <c r="Q162" s="5">
        <v>0</v>
      </c>
      <c r="R162" s="5">
        <v>0</v>
      </c>
      <c r="S162" s="5">
        <v>0</v>
      </c>
      <c r="T162" s="67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26010.14</v>
      </c>
      <c r="AF162" s="5">
        <v>0</v>
      </c>
      <c r="AG162" s="5">
        <v>0</v>
      </c>
      <c r="AH162" s="66" t="s">
        <v>49</v>
      </c>
      <c r="AI162" s="66">
        <v>2020</v>
      </c>
      <c r="AJ162" s="66">
        <v>2020</v>
      </c>
      <c r="AK162" s="15"/>
      <c r="AL162" s="15"/>
      <c r="AM162" s="15"/>
      <c r="AN162" s="15"/>
    </row>
    <row r="163" spans="1:40" ht="62.25">
      <c r="A163" s="1">
        <v>1</v>
      </c>
      <c r="B163" s="17">
        <f>SUBTOTAL(103,$A$92:A163)</f>
        <v>65</v>
      </c>
      <c r="C163" s="64" t="s">
        <v>306</v>
      </c>
      <c r="D163" s="22" t="s">
        <v>553</v>
      </c>
      <c r="E163" s="20">
        <v>0.91669999999999996</v>
      </c>
      <c r="F163" s="5">
        <f t="shared" si="40"/>
        <v>224063.98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24">
        <v>0</v>
      </c>
      <c r="N163" s="5">
        <v>0</v>
      </c>
      <c r="O163" s="5">
        <v>1135</v>
      </c>
      <c r="P163" s="5">
        <v>220769</v>
      </c>
      <c r="Q163" s="5">
        <v>0</v>
      </c>
      <c r="R163" s="5">
        <v>0</v>
      </c>
      <c r="S163" s="5">
        <v>0</v>
      </c>
      <c r="T163" s="67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3294.98</v>
      </c>
      <c r="AF163" s="5">
        <v>0</v>
      </c>
      <c r="AG163" s="5">
        <v>0</v>
      </c>
      <c r="AH163" s="66" t="s">
        <v>49</v>
      </c>
      <c r="AI163" s="66">
        <v>2020</v>
      </c>
      <c r="AJ163" s="66">
        <v>2020</v>
      </c>
      <c r="AK163" s="15"/>
      <c r="AL163" s="15"/>
      <c r="AM163" s="15"/>
      <c r="AN163" s="15"/>
    </row>
    <row r="164" spans="1:40" ht="62.25">
      <c r="A164" s="1">
        <v>1</v>
      </c>
      <c r="B164" s="17">
        <f>SUBTOTAL(103,$A$92:A164)</f>
        <v>66</v>
      </c>
      <c r="C164" s="64" t="s">
        <v>307</v>
      </c>
      <c r="D164" s="22" t="s">
        <v>554</v>
      </c>
      <c r="E164" s="20">
        <v>0.98309999999999997</v>
      </c>
      <c r="F164" s="5">
        <f t="shared" si="40"/>
        <v>31696.09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24">
        <v>0</v>
      </c>
      <c r="N164" s="5">
        <v>0</v>
      </c>
      <c r="O164" s="5">
        <v>1845</v>
      </c>
      <c r="P164" s="5">
        <v>31229.98</v>
      </c>
      <c r="Q164" s="5">
        <v>0</v>
      </c>
      <c r="R164" s="5">
        <v>0</v>
      </c>
      <c r="S164" s="5">
        <v>0</v>
      </c>
      <c r="T164" s="67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466.11</v>
      </c>
      <c r="AF164" s="5">
        <v>0</v>
      </c>
      <c r="AG164" s="5">
        <v>0</v>
      </c>
      <c r="AH164" s="66" t="s">
        <v>49</v>
      </c>
      <c r="AI164" s="66">
        <v>2020</v>
      </c>
      <c r="AJ164" s="66">
        <v>2020</v>
      </c>
      <c r="AK164" s="15"/>
      <c r="AL164" s="15"/>
      <c r="AM164" s="15"/>
      <c r="AN164" s="15"/>
    </row>
    <row r="165" spans="1:40" ht="62.25">
      <c r="A165" s="1">
        <v>1</v>
      </c>
      <c r="B165" s="17">
        <f>SUBTOTAL(103,$A$92:A165)</f>
        <v>67</v>
      </c>
      <c r="C165" s="64" t="s">
        <v>308</v>
      </c>
      <c r="D165" s="22" t="s">
        <v>554</v>
      </c>
      <c r="E165" s="20">
        <v>0.9163</v>
      </c>
      <c r="F165" s="5">
        <f t="shared" si="40"/>
        <v>97154.82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24">
        <v>0</v>
      </c>
      <c r="N165" s="5">
        <v>0</v>
      </c>
      <c r="O165" s="5">
        <v>736</v>
      </c>
      <c r="P165" s="5">
        <v>95726.11</v>
      </c>
      <c r="Q165" s="5">
        <v>0</v>
      </c>
      <c r="R165" s="5">
        <v>0</v>
      </c>
      <c r="S165" s="5">
        <v>0</v>
      </c>
      <c r="T165" s="67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1428.71</v>
      </c>
      <c r="AF165" s="5">
        <v>0</v>
      </c>
      <c r="AG165" s="5">
        <v>0</v>
      </c>
      <c r="AH165" s="66" t="s">
        <v>49</v>
      </c>
      <c r="AI165" s="66">
        <v>2020</v>
      </c>
      <c r="AJ165" s="66">
        <v>2020</v>
      </c>
      <c r="AK165" s="15"/>
      <c r="AL165" s="15"/>
      <c r="AM165" s="15"/>
      <c r="AN165" s="15"/>
    </row>
    <row r="166" spans="1:40" ht="62.25">
      <c r="A166" s="1">
        <v>1</v>
      </c>
      <c r="B166" s="17">
        <f>SUBTOTAL(103,$A$92:A166)</f>
        <v>68</v>
      </c>
      <c r="C166" s="64" t="s">
        <v>309</v>
      </c>
      <c r="D166" s="22" t="s">
        <v>553</v>
      </c>
      <c r="E166" s="20">
        <v>0.88370000000000004</v>
      </c>
      <c r="F166" s="5">
        <f t="shared" si="40"/>
        <v>115006.25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24">
        <v>0</v>
      </c>
      <c r="N166" s="5">
        <v>0</v>
      </c>
      <c r="O166" s="5">
        <v>518</v>
      </c>
      <c r="P166" s="5">
        <v>113315.02</v>
      </c>
      <c r="Q166" s="5">
        <v>0</v>
      </c>
      <c r="R166" s="5">
        <v>0</v>
      </c>
      <c r="S166" s="5">
        <v>0</v>
      </c>
      <c r="T166" s="67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1691.23</v>
      </c>
      <c r="AF166" s="5">
        <v>0</v>
      </c>
      <c r="AG166" s="5">
        <v>0</v>
      </c>
      <c r="AH166" s="66" t="s">
        <v>49</v>
      </c>
      <c r="AI166" s="66">
        <v>2020</v>
      </c>
      <c r="AJ166" s="66">
        <v>2020</v>
      </c>
      <c r="AK166" s="15"/>
      <c r="AL166" s="15"/>
      <c r="AM166" s="15"/>
      <c r="AN166" s="15"/>
    </row>
    <row r="167" spans="1:40" ht="62.25">
      <c r="A167" s="1">
        <v>1</v>
      </c>
      <c r="B167" s="17">
        <f>SUBTOTAL(103,$A$92:A167)</f>
        <v>69</v>
      </c>
      <c r="C167" s="64" t="s">
        <v>310</v>
      </c>
      <c r="D167" s="22" t="s">
        <v>554</v>
      </c>
      <c r="E167" s="20">
        <v>1.000675491846317</v>
      </c>
      <c r="F167" s="5">
        <f t="shared" si="40"/>
        <v>1485022.6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24">
        <v>0</v>
      </c>
      <c r="N167" s="5">
        <v>0</v>
      </c>
      <c r="O167" s="5">
        <v>1238</v>
      </c>
      <c r="P167" s="5">
        <v>1463184.57</v>
      </c>
      <c r="Q167" s="5">
        <v>0</v>
      </c>
      <c r="R167" s="5">
        <v>0</v>
      </c>
      <c r="S167" s="5">
        <v>0</v>
      </c>
      <c r="T167" s="67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21838.03</v>
      </c>
      <c r="AF167" s="5">
        <v>0</v>
      </c>
      <c r="AG167" s="5">
        <v>0</v>
      </c>
      <c r="AH167" s="66" t="s">
        <v>49</v>
      </c>
      <c r="AI167" s="66">
        <v>2020</v>
      </c>
      <c r="AJ167" s="66">
        <v>2020</v>
      </c>
      <c r="AK167" s="15"/>
      <c r="AL167" s="15"/>
      <c r="AM167" s="15"/>
      <c r="AN167" s="15"/>
    </row>
    <row r="168" spans="1:40" ht="62.25">
      <c r="A168" s="1">
        <v>1</v>
      </c>
      <c r="B168" s="17">
        <f>SUBTOTAL(103,$A$92:A168)</f>
        <v>70</v>
      </c>
      <c r="C168" s="64" t="s">
        <v>311</v>
      </c>
      <c r="D168" s="22" t="s">
        <v>554</v>
      </c>
      <c r="E168" s="20">
        <v>0.80026822300653366</v>
      </c>
      <c r="F168" s="5">
        <f t="shared" si="40"/>
        <v>179270.28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24">
        <v>0</v>
      </c>
      <c r="N168" s="5">
        <v>0</v>
      </c>
      <c r="O168" s="5">
        <v>668</v>
      </c>
      <c r="P168" s="5">
        <v>176634.02</v>
      </c>
      <c r="Q168" s="5">
        <v>0</v>
      </c>
      <c r="R168" s="5">
        <v>0</v>
      </c>
      <c r="S168" s="5">
        <v>0</v>
      </c>
      <c r="T168" s="67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2636.26</v>
      </c>
      <c r="AF168" s="5">
        <v>0</v>
      </c>
      <c r="AG168" s="5">
        <v>0</v>
      </c>
      <c r="AH168" s="66" t="s">
        <v>49</v>
      </c>
      <c r="AI168" s="66">
        <v>2020</v>
      </c>
      <c r="AJ168" s="66">
        <v>2020</v>
      </c>
      <c r="AK168" s="15"/>
      <c r="AL168" s="15"/>
      <c r="AM168" s="15"/>
      <c r="AN168" s="15"/>
    </row>
    <row r="169" spans="1:40" ht="62.25">
      <c r="A169" s="1">
        <v>1</v>
      </c>
      <c r="B169" s="17">
        <f>SUBTOTAL(103,$A$92:A169)</f>
        <v>71</v>
      </c>
      <c r="C169" s="64" t="s">
        <v>312</v>
      </c>
      <c r="D169" s="22" t="s">
        <v>553</v>
      </c>
      <c r="E169" s="20">
        <v>0.92587279445283599</v>
      </c>
      <c r="F169" s="5">
        <f t="shared" si="40"/>
        <v>21660.55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0</v>
      </c>
      <c r="M169" s="24">
        <v>0</v>
      </c>
      <c r="N169" s="5">
        <v>0</v>
      </c>
      <c r="O169" s="5">
        <v>559</v>
      </c>
      <c r="P169" s="5">
        <v>21342.02</v>
      </c>
      <c r="Q169" s="5">
        <v>0</v>
      </c>
      <c r="R169" s="5">
        <v>0</v>
      </c>
      <c r="S169" s="5">
        <v>0</v>
      </c>
      <c r="T169" s="67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318.52999999999997</v>
      </c>
      <c r="AF169" s="5">
        <v>0</v>
      </c>
      <c r="AG169" s="5">
        <v>0</v>
      </c>
      <c r="AH169" s="66" t="s">
        <v>49</v>
      </c>
      <c r="AI169" s="66">
        <v>2020</v>
      </c>
      <c r="AJ169" s="66">
        <v>2020</v>
      </c>
      <c r="AK169" s="15"/>
      <c r="AL169" s="15"/>
      <c r="AM169" s="15"/>
      <c r="AN169" s="15"/>
    </row>
    <row r="170" spans="1:40" ht="62.25">
      <c r="A170" s="1">
        <v>1</v>
      </c>
      <c r="B170" s="17">
        <f>SUBTOTAL(103,$A$92:A170)</f>
        <v>72</v>
      </c>
      <c r="C170" s="64" t="s">
        <v>313</v>
      </c>
      <c r="D170" s="22" t="s">
        <v>554</v>
      </c>
      <c r="E170" s="20">
        <v>0.87360000000000004</v>
      </c>
      <c r="F170" s="5">
        <f t="shared" si="40"/>
        <v>825558.04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24">
        <v>0</v>
      </c>
      <c r="N170" s="5">
        <v>0</v>
      </c>
      <c r="O170" s="5">
        <v>1549</v>
      </c>
      <c r="P170" s="5">
        <v>813417.78</v>
      </c>
      <c r="Q170" s="5">
        <v>0</v>
      </c>
      <c r="R170" s="5">
        <v>0</v>
      </c>
      <c r="S170" s="5">
        <v>0</v>
      </c>
      <c r="T170" s="67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12140.26</v>
      </c>
      <c r="AF170" s="5">
        <v>0</v>
      </c>
      <c r="AG170" s="5">
        <v>0</v>
      </c>
      <c r="AH170" s="66" t="s">
        <v>49</v>
      </c>
      <c r="AI170" s="66">
        <v>2020</v>
      </c>
      <c r="AJ170" s="66">
        <v>2020</v>
      </c>
      <c r="AK170" s="15"/>
      <c r="AL170" s="15"/>
      <c r="AM170" s="15"/>
      <c r="AN170" s="15"/>
    </row>
    <row r="171" spans="1:40" ht="62.25">
      <c r="A171" s="1">
        <v>1</v>
      </c>
      <c r="B171" s="17">
        <f>SUBTOTAL(103,$A$92:A171)</f>
        <v>73</v>
      </c>
      <c r="C171" s="64" t="s">
        <v>314</v>
      </c>
      <c r="D171" s="22" t="s">
        <v>553</v>
      </c>
      <c r="E171" s="20">
        <v>0.78059999999999996</v>
      </c>
      <c r="F171" s="5">
        <f t="shared" si="40"/>
        <v>58127.710000000006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24">
        <v>0</v>
      </c>
      <c r="N171" s="5">
        <v>0</v>
      </c>
      <c r="O171" s="5">
        <v>450</v>
      </c>
      <c r="P171" s="5">
        <v>57272.91</v>
      </c>
      <c r="Q171" s="5">
        <v>0</v>
      </c>
      <c r="R171" s="5">
        <v>0</v>
      </c>
      <c r="S171" s="5">
        <v>0</v>
      </c>
      <c r="T171" s="67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854.8</v>
      </c>
      <c r="AF171" s="5">
        <v>0</v>
      </c>
      <c r="AG171" s="5">
        <v>0</v>
      </c>
      <c r="AH171" s="66" t="s">
        <v>49</v>
      </c>
      <c r="AI171" s="66">
        <v>2020</v>
      </c>
      <c r="AJ171" s="66">
        <v>2020</v>
      </c>
      <c r="AK171" s="15"/>
      <c r="AL171" s="15"/>
      <c r="AM171" s="15"/>
      <c r="AN171" s="15"/>
    </row>
    <row r="172" spans="1:40" ht="62.25">
      <c r="A172" s="1">
        <v>1</v>
      </c>
      <c r="B172" s="17">
        <f>SUBTOTAL(103,$A$92:A172)</f>
        <v>74</v>
      </c>
      <c r="C172" s="64" t="s">
        <v>236</v>
      </c>
      <c r="D172" s="22" t="s">
        <v>554</v>
      </c>
      <c r="E172" s="20">
        <v>0.88049999999999995</v>
      </c>
      <c r="F172" s="5">
        <f t="shared" si="40"/>
        <v>174209.85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24">
        <v>0</v>
      </c>
      <c r="N172" s="5">
        <v>0</v>
      </c>
      <c r="O172" s="5">
        <v>498</v>
      </c>
      <c r="P172" s="5">
        <v>171648</v>
      </c>
      <c r="Q172" s="5">
        <v>0</v>
      </c>
      <c r="R172" s="5">
        <v>0</v>
      </c>
      <c r="S172" s="5">
        <v>0</v>
      </c>
      <c r="T172" s="67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2561.85</v>
      </c>
      <c r="AF172" s="5">
        <v>0</v>
      </c>
      <c r="AG172" s="5">
        <v>0</v>
      </c>
      <c r="AH172" s="66" t="s">
        <v>49</v>
      </c>
      <c r="AI172" s="66">
        <v>2020</v>
      </c>
      <c r="AJ172" s="66">
        <v>2020</v>
      </c>
      <c r="AK172" s="15"/>
      <c r="AL172" s="15"/>
      <c r="AM172" s="15"/>
      <c r="AN172" s="15"/>
    </row>
    <row r="173" spans="1:40" ht="62.25">
      <c r="A173" s="1">
        <v>1</v>
      </c>
      <c r="B173" s="17">
        <f>SUBTOTAL(103,$A$92:A173)</f>
        <v>75</v>
      </c>
      <c r="C173" s="64" t="s">
        <v>315</v>
      </c>
      <c r="D173" s="22">
        <v>2017</v>
      </c>
      <c r="E173" s="20">
        <v>0.97189999999999999</v>
      </c>
      <c r="F173" s="5">
        <f t="shared" si="40"/>
        <v>101365.01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0</v>
      </c>
      <c r="M173" s="24">
        <v>0</v>
      </c>
      <c r="N173" s="5">
        <v>0</v>
      </c>
      <c r="O173" s="5">
        <v>1067</v>
      </c>
      <c r="P173" s="5">
        <v>99867</v>
      </c>
      <c r="Q173" s="5">
        <v>0</v>
      </c>
      <c r="R173" s="5">
        <v>0</v>
      </c>
      <c r="S173" s="5">
        <v>0</v>
      </c>
      <c r="T173" s="67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v>0</v>
      </c>
      <c r="AC173" s="5">
        <v>0</v>
      </c>
      <c r="AD173" s="5">
        <v>0</v>
      </c>
      <c r="AE173" s="5">
        <f t="shared" ref="AE173" si="55">ROUND(P173*1.5%,2)</f>
        <v>1498.01</v>
      </c>
      <c r="AF173" s="5">
        <v>0</v>
      </c>
      <c r="AG173" s="5">
        <v>0</v>
      </c>
      <c r="AH173" s="66" t="s">
        <v>49</v>
      </c>
      <c r="AI173" s="66">
        <v>2020</v>
      </c>
      <c r="AJ173" s="66">
        <v>2020</v>
      </c>
      <c r="AK173" s="15"/>
      <c r="AL173" s="15"/>
      <c r="AM173" s="15"/>
      <c r="AN173" s="15"/>
    </row>
    <row r="174" spans="1:40" ht="62.25">
      <c r="A174" s="1">
        <v>1</v>
      </c>
      <c r="B174" s="17">
        <f>SUBTOTAL(103,$A$92:A174)</f>
        <v>76</v>
      </c>
      <c r="C174" s="64" t="s">
        <v>352</v>
      </c>
      <c r="D174" s="26" t="s">
        <v>379</v>
      </c>
      <c r="E174" s="20">
        <v>0.93899999999999995</v>
      </c>
      <c r="F174" s="5">
        <f t="shared" si="40"/>
        <v>70328.740000000005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24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67">
        <v>0</v>
      </c>
      <c r="U174" s="5">
        <v>0</v>
      </c>
      <c r="V174" s="5">
        <v>0</v>
      </c>
      <c r="W174" s="5">
        <v>0</v>
      </c>
      <c r="X174" s="5">
        <v>69998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5">
        <v>0</v>
      </c>
      <c r="AE174" s="5">
        <v>330.74</v>
      </c>
      <c r="AF174" s="5">
        <v>0</v>
      </c>
      <c r="AG174" s="5">
        <v>0</v>
      </c>
      <c r="AH174" s="66" t="s">
        <v>49</v>
      </c>
      <c r="AI174" s="66">
        <v>2020</v>
      </c>
      <c r="AJ174" s="66">
        <v>2020</v>
      </c>
      <c r="AK174" s="15"/>
      <c r="AL174" s="15"/>
      <c r="AM174" s="15"/>
      <c r="AN174" s="15"/>
    </row>
    <row r="175" spans="1:40" ht="62.25">
      <c r="A175" s="1">
        <v>1</v>
      </c>
      <c r="B175" s="17">
        <f>SUBTOTAL(103,$A$92:A175)</f>
        <v>77</v>
      </c>
      <c r="C175" s="64" t="s">
        <v>563</v>
      </c>
      <c r="D175" s="22" t="s">
        <v>553</v>
      </c>
      <c r="E175" s="20">
        <v>0.97650000000000003</v>
      </c>
      <c r="F175" s="5">
        <f t="shared" ref="F175:F176" si="56">P175+AE175</f>
        <v>53102.53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24">
        <v>0</v>
      </c>
      <c r="N175" s="5">
        <v>0</v>
      </c>
      <c r="O175" s="5">
        <v>1461</v>
      </c>
      <c r="P175" s="5">
        <v>52317.760000000002</v>
      </c>
      <c r="Q175" s="5">
        <v>0</v>
      </c>
      <c r="R175" s="5">
        <v>0</v>
      </c>
      <c r="S175" s="5">
        <v>0</v>
      </c>
      <c r="T175" s="67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f>ROUND(P175*1.5%,2)</f>
        <v>784.77</v>
      </c>
      <c r="AF175" s="5">
        <v>0</v>
      </c>
      <c r="AG175" s="5">
        <v>0</v>
      </c>
      <c r="AH175" s="66" t="s">
        <v>49</v>
      </c>
      <c r="AI175" s="66">
        <v>2020</v>
      </c>
      <c r="AJ175" s="66">
        <v>2020</v>
      </c>
      <c r="AK175" s="15"/>
      <c r="AL175" s="15"/>
      <c r="AM175" s="15"/>
      <c r="AN175" s="15"/>
    </row>
    <row r="176" spans="1:40" ht="62.25">
      <c r="A176" s="1">
        <v>1</v>
      </c>
      <c r="B176" s="17">
        <f>SUBTOTAL(103,$A$92:A176)</f>
        <v>78</v>
      </c>
      <c r="C176" s="64" t="s">
        <v>564</v>
      </c>
      <c r="D176" s="22" t="s">
        <v>553</v>
      </c>
      <c r="E176" s="20">
        <v>0.75141596450729198</v>
      </c>
      <c r="F176" s="5">
        <f t="shared" si="56"/>
        <v>110786.03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24">
        <v>0</v>
      </c>
      <c r="N176" s="5">
        <v>0</v>
      </c>
      <c r="O176" s="5">
        <v>500</v>
      </c>
      <c r="P176" s="5">
        <v>109148.8</v>
      </c>
      <c r="Q176" s="5">
        <v>0</v>
      </c>
      <c r="R176" s="5">
        <v>0</v>
      </c>
      <c r="S176" s="5">
        <v>0</v>
      </c>
      <c r="T176" s="67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f>ROUND(P176*1.5%,2)</f>
        <v>1637.23</v>
      </c>
      <c r="AF176" s="5">
        <v>0</v>
      </c>
      <c r="AG176" s="5">
        <v>0</v>
      </c>
      <c r="AH176" s="66" t="s">
        <v>49</v>
      </c>
      <c r="AI176" s="66">
        <v>2020</v>
      </c>
      <c r="AJ176" s="66">
        <v>2020</v>
      </c>
      <c r="AK176" s="15"/>
      <c r="AL176" s="15"/>
      <c r="AM176" s="15"/>
      <c r="AN176" s="15"/>
    </row>
    <row r="177" spans="1:40" ht="62.25">
      <c r="B177" s="68" t="s">
        <v>259</v>
      </c>
      <c r="C177" s="69"/>
      <c r="D177" s="65" t="s">
        <v>131</v>
      </c>
      <c r="E177" s="20">
        <f>AVERAGE(E178:E183)</f>
        <v>0.89380629497361996</v>
      </c>
      <c r="F177" s="5">
        <f>SUM(F178:F183)</f>
        <v>1550578.68</v>
      </c>
      <c r="G177" s="5">
        <f t="shared" ref="G177:AG177" si="57">SUM(G178:G183)</f>
        <v>0</v>
      </c>
      <c r="H177" s="5">
        <f t="shared" si="57"/>
        <v>0</v>
      </c>
      <c r="I177" s="5">
        <f t="shared" si="57"/>
        <v>0</v>
      </c>
      <c r="J177" s="5">
        <f t="shared" si="57"/>
        <v>0</v>
      </c>
      <c r="K177" s="5">
        <f t="shared" si="57"/>
        <v>0</v>
      </c>
      <c r="L177" s="5">
        <f t="shared" si="57"/>
        <v>0</v>
      </c>
      <c r="M177" s="24">
        <f t="shared" si="57"/>
        <v>0</v>
      </c>
      <c r="N177" s="5">
        <f t="shared" si="57"/>
        <v>0</v>
      </c>
      <c r="O177" s="5">
        <f t="shared" si="57"/>
        <v>6063.4000000000005</v>
      </c>
      <c r="P177" s="5">
        <f t="shared" si="57"/>
        <v>1527663.73</v>
      </c>
      <c r="Q177" s="5">
        <f t="shared" si="57"/>
        <v>0</v>
      </c>
      <c r="R177" s="5">
        <f t="shared" si="57"/>
        <v>0</v>
      </c>
      <c r="S177" s="5">
        <f t="shared" si="57"/>
        <v>0</v>
      </c>
      <c r="T177" s="5">
        <f t="shared" si="57"/>
        <v>0</v>
      </c>
      <c r="U177" s="5">
        <f t="shared" si="57"/>
        <v>0</v>
      </c>
      <c r="V177" s="5">
        <f t="shared" si="57"/>
        <v>0</v>
      </c>
      <c r="W177" s="5">
        <f t="shared" si="57"/>
        <v>0</v>
      </c>
      <c r="X177" s="5">
        <f t="shared" si="57"/>
        <v>0</v>
      </c>
      <c r="Y177" s="5">
        <f t="shared" si="57"/>
        <v>0</v>
      </c>
      <c r="Z177" s="5">
        <f t="shared" si="57"/>
        <v>0</v>
      </c>
      <c r="AA177" s="5">
        <f t="shared" si="57"/>
        <v>0</v>
      </c>
      <c r="AB177" s="5">
        <f t="shared" si="57"/>
        <v>0</v>
      </c>
      <c r="AC177" s="5">
        <f t="shared" si="57"/>
        <v>0</v>
      </c>
      <c r="AD177" s="5">
        <f t="shared" si="57"/>
        <v>0</v>
      </c>
      <c r="AE177" s="5">
        <f t="shared" si="57"/>
        <v>22914.949999999997</v>
      </c>
      <c r="AF177" s="5">
        <f t="shared" si="57"/>
        <v>0</v>
      </c>
      <c r="AG177" s="5">
        <f t="shared" si="57"/>
        <v>0</v>
      </c>
      <c r="AH177" s="66" t="s">
        <v>131</v>
      </c>
      <c r="AI177" s="66" t="s">
        <v>131</v>
      </c>
      <c r="AJ177" s="66" t="s">
        <v>131</v>
      </c>
      <c r="AK177" s="15"/>
      <c r="AL177" s="15"/>
      <c r="AM177" s="15"/>
      <c r="AN177" s="15"/>
    </row>
    <row r="178" spans="1:40" ht="62.25">
      <c r="A178" s="1">
        <v>1</v>
      </c>
      <c r="B178" s="17">
        <f>SUBTOTAL(103,$A$92:A178)</f>
        <v>79</v>
      </c>
      <c r="C178" s="64" t="s">
        <v>316</v>
      </c>
      <c r="D178" s="22" t="s">
        <v>554</v>
      </c>
      <c r="E178" s="20">
        <v>0.9054350997618551</v>
      </c>
      <c r="F178" s="5">
        <f t="shared" si="40"/>
        <v>382556.25999999995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24">
        <v>0</v>
      </c>
      <c r="N178" s="5">
        <v>0</v>
      </c>
      <c r="O178" s="5">
        <v>1160.0999999999999</v>
      </c>
      <c r="P178" s="5">
        <v>376902.72</v>
      </c>
      <c r="Q178" s="5">
        <v>0</v>
      </c>
      <c r="R178" s="5">
        <v>0</v>
      </c>
      <c r="S178" s="5">
        <v>0</v>
      </c>
      <c r="T178" s="67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f t="shared" ref="AE178:AE183" si="58">ROUND(P178*1.5%,2)</f>
        <v>5653.54</v>
      </c>
      <c r="AF178" s="5">
        <v>0</v>
      </c>
      <c r="AG178" s="5">
        <v>0</v>
      </c>
      <c r="AH178" s="66" t="s">
        <v>49</v>
      </c>
      <c r="AI178" s="66">
        <v>2020</v>
      </c>
      <c r="AJ178" s="66">
        <v>2020</v>
      </c>
      <c r="AK178" s="15"/>
      <c r="AL178" s="15"/>
      <c r="AM178" s="15"/>
      <c r="AN178" s="15"/>
    </row>
    <row r="179" spans="1:40" ht="62.25">
      <c r="A179" s="1">
        <v>1</v>
      </c>
      <c r="B179" s="17">
        <f>SUBTOTAL(103,$A$92:A179)</f>
        <v>80</v>
      </c>
      <c r="C179" s="64" t="s">
        <v>317</v>
      </c>
      <c r="D179" s="22" t="s">
        <v>554</v>
      </c>
      <c r="E179" s="20">
        <v>0.87345236547698324</v>
      </c>
      <c r="F179" s="5">
        <f t="shared" si="40"/>
        <v>381284.05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24">
        <v>0</v>
      </c>
      <c r="N179" s="5">
        <v>0</v>
      </c>
      <c r="O179" s="5">
        <v>1192.7</v>
      </c>
      <c r="P179" s="5">
        <v>375649.31</v>
      </c>
      <c r="Q179" s="5">
        <v>0</v>
      </c>
      <c r="R179" s="5">
        <v>0</v>
      </c>
      <c r="S179" s="5">
        <v>0</v>
      </c>
      <c r="T179" s="67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v>0</v>
      </c>
      <c r="AC179" s="5">
        <v>0</v>
      </c>
      <c r="AD179" s="5">
        <v>0</v>
      </c>
      <c r="AE179" s="5">
        <f t="shared" si="58"/>
        <v>5634.74</v>
      </c>
      <c r="AF179" s="5">
        <v>0</v>
      </c>
      <c r="AG179" s="5">
        <v>0</v>
      </c>
      <c r="AH179" s="66" t="s">
        <v>49</v>
      </c>
      <c r="AI179" s="66">
        <v>2020</v>
      </c>
      <c r="AJ179" s="66">
        <v>2020</v>
      </c>
      <c r="AK179" s="15"/>
      <c r="AL179" s="15"/>
      <c r="AM179" s="15"/>
      <c r="AN179" s="15"/>
    </row>
    <row r="180" spans="1:40" ht="62.25">
      <c r="A180" s="1">
        <v>1</v>
      </c>
      <c r="B180" s="17">
        <f>SUBTOTAL(103,$A$92:A180)</f>
        <v>81</v>
      </c>
      <c r="C180" s="64" t="s">
        <v>81</v>
      </c>
      <c r="D180" s="22" t="s">
        <v>554</v>
      </c>
      <c r="E180" s="20">
        <v>0.86236529068576662</v>
      </c>
      <c r="F180" s="5">
        <f t="shared" si="40"/>
        <v>292385.17000000004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24">
        <v>0</v>
      </c>
      <c r="N180" s="5">
        <v>0</v>
      </c>
      <c r="O180" s="5">
        <v>1207</v>
      </c>
      <c r="P180" s="5">
        <v>288064.21000000002</v>
      </c>
      <c r="Q180" s="5">
        <v>0</v>
      </c>
      <c r="R180" s="5">
        <v>0</v>
      </c>
      <c r="S180" s="5">
        <v>0</v>
      </c>
      <c r="T180" s="67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0</v>
      </c>
      <c r="AB180" s="5">
        <v>0</v>
      </c>
      <c r="AC180" s="5">
        <v>0</v>
      </c>
      <c r="AD180" s="5">
        <v>0</v>
      </c>
      <c r="AE180" s="5">
        <f t="shared" si="58"/>
        <v>4320.96</v>
      </c>
      <c r="AF180" s="5">
        <v>0</v>
      </c>
      <c r="AG180" s="5">
        <v>0</v>
      </c>
      <c r="AH180" s="66" t="s">
        <v>49</v>
      </c>
      <c r="AI180" s="66">
        <v>2020</v>
      </c>
      <c r="AJ180" s="66">
        <v>2020</v>
      </c>
      <c r="AK180" s="15"/>
      <c r="AL180" s="15"/>
      <c r="AM180" s="15"/>
      <c r="AN180" s="15"/>
    </row>
    <row r="181" spans="1:40" ht="62.25">
      <c r="A181" s="1">
        <v>1</v>
      </c>
      <c r="B181" s="17">
        <f>SUBTOTAL(103,$A$92:A181)</f>
        <v>82</v>
      </c>
      <c r="C181" s="64" t="s">
        <v>318</v>
      </c>
      <c r="D181" s="22" t="s">
        <v>554</v>
      </c>
      <c r="E181" s="20">
        <v>0.85951459937778774</v>
      </c>
      <c r="F181" s="5">
        <f t="shared" si="40"/>
        <v>292385.17000000004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24">
        <v>0</v>
      </c>
      <c r="N181" s="5">
        <v>0</v>
      </c>
      <c r="O181" s="5">
        <v>1206</v>
      </c>
      <c r="P181" s="5">
        <v>288064.21000000002</v>
      </c>
      <c r="Q181" s="5">
        <v>0</v>
      </c>
      <c r="R181" s="5">
        <v>0</v>
      </c>
      <c r="S181" s="5">
        <v>0</v>
      </c>
      <c r="T181" s="67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5">
        <v>0</v>
      </c>
      <c r="AE181" s="5">
        <f t="shared" si="58"/>
        <v>4320.96</v>
      </c>
      <c r="AF181" s="5">
        <v>0</v>
      </c>
      <c r="AG181" s="5">
        <v>0</v>
      </c>
      <c r="AH181" s="66" t="s">
        <v>49</v>
      </c>
      <c r="AI181" s="66">
        <v>2020</v>
      </c>
      <c r="AJ181" s="66">
        <v>2020</v>
      </c>
      <c r="AK181" s="15"/>
      <c r="AL181" s="15"/>
      <c r="AM181" s="15"/>
      <c r="AN181" s="15"/>
    </row>
    <row r="182" spans="1:40" ht="62.25">
      <c r="A182" s="1">
        <v>1</v>
      </c>
      <c r="B182" s="17">
        <f>SUBTOTAL(103,$A$92:A182)</f>
        <v>83</v>
      </c>
      <c r="C182" s="64" t="s">
        <v>319</v>
      </c>
      <c r="D182" s="22" t="s">
        <v>554</v>
      </c>
      <c r="E182" s="20">
        <v>0.89797041453932691</v>
      </c>
      <c r="F182" s="5">
        <f t="shared" ref="F182" si="59">G182+H182+I182+J182+K182+L182+N182+P182+R182+T182+V182+W182+X182+Y182+Z182+AA182+AB182+AC182+AD182+AE182+AF182+AG182</f>
        <v>193920.28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24">
        <v>0</v>
      </c>
      <c r="N182" s="5">
        <v>0</v>
      </c>
      <c r="O182" s="5">
        <v>516.6</v>
      </c>
      <c r="P182" s="5">
        <v>191054.46</v>
      </c>
      <c r="Q182" s="5">
        <v>0</v>
      </c>
      <c r="R182" s="5">
        <v>0</v>
      </c>
      <c r="S182" s="5">
        <v>0</v>
      </c>
      <c r="T182" s="67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f t="shared" si="58"/>
        <v>2865.82</v>
      </c>
      <c r="AF182" s="5">
        <v>0</v>
      </c>
      <c r="AG182" s="5">
        <v>0</v>
      </c>
      <c r="AH182" s="66" t="s">
        <v>49</v>
      </c>
      <c r="AI182" s="66">
        <v>2020</v>
      </c>
      <c r="AJ182" s="66">
        <v>2020</v>
      </c>
      <c r="AK182" s="15"/>
      <c r="AL182" s="15"/>
      <c r="AM182" s="15"/>
      <c r="AN182" s="15"/>
    </row>
    <row r="183" spans="1:40" ht="62.25">
      <c r="A183" s="1">
        <v>1</v>
      </c>
      <c r="B183" s="17">
        <f>SUBTOTAL(103,$A$92:A183)</f>
        <v>84</v>
      </c>
      <c r="C183" s="64" t="s">
        <v>896</v>
      </c>
      <c r="D183" s="22">
        <v>2014</v>
      </c>
      <c r="E183" s="20">
        <v>0.96409999999999996</v>
      </c>
      <c r="F183" s="5">
        <f t="shared" si="40"/>
        <v>8047.75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24">
        <v>0</v>
      </c>
      <c r="N183" s="5">
        <v>0</v>
      </c>
      <c r="O183" s="5">
        <v>781</v>
      </c>
      <c r="P183" s="5">
        <v>7928.82</v>
      </c>
      <c r="Q183" s="5">
        <v>0</v>
      </c>
      <c r="R183" s="5">
        <v>0</v>
      </c>
      <c r="S183" s="5">
        <v>0</v>
      </c>
      <c r="T183" s="67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f t="shared" si="58"/>
        <v>118.93</v>
      </c>
      <c r="AF183" s="5">
        <v>0</v>
      </c>
      <c r="AG183" s="5">
        <v>0</v>
      </c>
      <c r="AH183" s="66" t="s">
        <v>49</v>
      </c>
      <c r="AI183" s="66">
        <v>2021</v>
      </c>
      <c r="AJ183" s="66">
        <v>2021</v>
      </c>
      <c r="AK183" s="15"/>
      <c r="AL183" s="15"/>
      <c r="AM183" s="15"/>
      <c r="AN183" s="15"/>
    </row>
    <row r="184" spans="1:40" ht="62.25">
      <c r="B184" s="68" t="s">
        <v>129</v>
      </c>
      <c r="C184" s="69"/>
      <c r="D184" s="65" t="s">
        <v>131</v>
      </c>
      <c r="E184" s="20">
        <f>AVERAGE(E185:E186)</f>
        <v>0.86194999999999999</v>
      </c>
      <c r="F184" s="5">
        <f>SUM(F185:F186)</f>
        <v>3231773.15</v>
      </c>
      <c r="G184" s="5">
        <f t="shared" ref="G184:AG184" si="60">SUM(G185:G186)</f>
        <v>0</v>
      </c>
      <c r="H184" s="5">
        <f t="shared" si="60"/>
        <v>0</v>
      </c>
      <c r="I184" s="5">
        <f t="shared" si="60"/>
        <v>0</v>
      </c>
      <c r="J184" s="5">
        <f t="shared" si="60"/>
        <v>0</v>
      </c>
      <c r="K184" s="5">
        <f t="shared" si="60"/>
        <v>0</v>
      </c>
      <c r="L184" s="5">
        <f t="shared" si="60"/>
        <v>0</v>
      </c>
      <c r="M184" s="24">
        <f t="shared" si="60"/>
        <v>0</v>
      </c>
      <c r="N184" s="5">
        <f t="shared" si="60"/>
        <v>0</v>
      </c>
      <c r="O184" s="5">
        <f t="shared" si="60"/>
        <v>1625</v>
      </c>
      <c r="P184" s="5">
        <f t="shared" si="60"/>
        <v>3199617</v>
      </c>
      <c r="Q184" s="5">
        <f t="shared" si="60"/>
        <v>0</v>
      </c>
      <c r="R184" s="5">
        <f t="shared" si="60"/>
        <v>0</v>
      </c>
      <c r="S184" s="5">
        <f t="shared" si="60"/>
        <v>0</v>
      </c>
      <c r="T184" s="5">
        <f t="shared" si="60"/>
        <v>0</v>
      </c>
      <c r="U184" s="5">
        <f t="shared" si="60"/>
        <v>0</v>
      </c>
      <c r="V184" s="5">
        <f t="shared" si="60"/>
        <v>0</v>
      </c>
      <c r="W184" s="5">
        <f t="shared" si="60"/>
        <v>0</v>
      </c>
      <c r="X184" s="5">
        <f t="shared" si="60"/>
        <v>0</v>
      </c>
      <c r="Y184" s="5">
        <f t="shared" si="60"/>
        <v>0</v>
      </c>
      <c r="Z184" s="5">
        <f t="shared" si="60"/>
        <v>0</v>
      </c>
      <c r="AA184" s="5">
        <f t="shared" si="60"/>
        <v>0</v>
      </c>
      <c r="AB184" s="5">
        <f t="shared" si="60"/>
        <v>0</v>
      </c>
      <c r="AC184" s="5">
        <f t="shared" si="60"/>
        <v>0</v>
      </c>
      <c r="AD184" s="5">
        <f t="shared" si="60"/>
        <v>0</v>
      </c>
      <c r="AE184" s="5">
        <f t="shared" si="60"/>
        <v>32156.15</v>
      </c>
      <c r="AF184" s="5">
        <f t="shared" si="60"/>
        <v>0</v>
      </c>
      <c r="AG184" s="5">
        <f t="shared" si="60"/>
        <v>0</v>
      </c>
      <c r="AH184" s="66" t="s">
        <v>131</v>
      </c>
      <c r="AI184" s="66" t="s">
        <v>131</v>
      </c>
      <c r="AJ184" s="66" t="s">
        <v>131</v>
      </c>
      <c r="AK184" s="15"/>
      <c r="AL184" s="15"/>
      <c r="AM184" s="15"/>
      <c r="AN184" s="15"/>
    </row>
    <row r="185" spans="1:40" ht="62.25">
      <c r="A185" s="1">
        <v>1</v>
      </c>
      <c r="B185" s="17">
        <f>SUBTOTAL(103,$A$92:A185)</f>
        <v>85</v>
      </c>
      <c r="C185" s="64" t="s">
        <v>320</v>
      </c>
      <c r="D185" s="22" t="s">
        <v>553</v>
      </c>
      <c r="E185" s="20">
        <v>0.82040000000000002</v>
      </c>
      <c r="F185" s="5">
        <f t="shared" si="40"/>
        <v>1617633.46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24">
        <v>0</v>
      </c>
      <c r="N185" s="5">
        <v>0</v>
      </c>
      <c r="O185" s="5">
        <v>812.5</v>
      </c>
      <c r="P185" s="5">
        <v>1601538</v>
      </c>
      <c r="Q185" s="5">
        <v>0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5">
        <v>0</v>
      </c>
      <c r="AE185" s="5">
        <v>16095.46</v>
      </c>
      <c r="AF185" s="5">
        <v>0</v>
      </c>
      <c r="AG185" s="5">
        <v>0</v>
      </c>
      <c r="AH185" s="66" t="s">
        <v>49</v>
      </c>
      <c r="AI185" s="66">
        <v>2020</v>
      </c>
      <c r="AJ185" s="66">
        <v>2020</v>
      </c>
      <c r="AK185" s="15"/>
      <c r="AL185" s="15"/>
      <c r="AM185" s="15"/>
      <c r="AN185" s="15"/>
    </row>
    <row r="186" spans="1:40" ht="62.25">
      <c r="A186" s="1">
        <v>1</v>
      </c>
      <c r="B186" s="17">
        <f>SUBTOTAL(103,$A$92:A186)</f>
        <v>86</v>
      </c>
      <c r="C186" s="64" t="s">
        <v>321</v>
      </c>
      <c r="D186" s="22" t="s">
        <v>554</v>
      </c>
      <c r="E186" s="20">
        <v>0.90349999999999997</v>
      </c>
      <c r="F186" s="5">
        <f>G186+H186+I186+J186+K186+L186+N186+P186+R186+T186+V186+W186+X186+Y186+Z186+AA186+AB186+AC186+AD186+AE186+AF186+AG186</f>
        <v>1614139.69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24">
        <v>0</v>
      </c>
      <c r="N186" s="5">
        <v>0</v>
      </c>
      <c r="O186" s="5">
        <v>812.5</v>
      </c>
      <c r="P186" s="5">
        <v>1598079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16060.69</v>
      </c>
      <c r="AF186" s="5">
        <v>0</v>
      </c>
      <c r="AG186" s="5">
        <v>0</v>
      </c>
      <c r="AH186" s="66" t="s">
        <v>49</v>
      </c>
      <c r="AI186" s="66">
        <v>2020</v>
      </c>
      <c r="AJ186" s="66">
        <v>2020</v>
      </c>
      <c r="AK186" s="15"/>
      <c r="AL186" s="15"/>
      <c r="AM186" s="15"/>
      <c r="AN186" s="15"/>
    </row>
    <row r="187" spans="1:40" ht="62.25">
      <c r="B187" s="63" t="s">
        <v>260</v>
      </c>
      <c r="C187" s="64"/>
      <c r="D187" s="65" t="s">
        <v>131</v>
      </c>
      <c r="E187" s="20">
        <f>AVERAGE(E188:E189)</f>
        <v>0.91439999999999999</v>
      </c>
      <c r="F187" s="5">
        <f>F188+F189</f>
        <v>35323.410000000003</v>
      </c>
      <c r="G187" s="5">
        <f t="shared" ref="G187:AG187" si="61">G188+G189</f>
        <v>0</v>
      </c>
      <c r="H187" s="5">
        <f t="shared" si="61"/>
        <v>0</v>
      </c>
      <c r="I187" s="5">
        <f t="shared" si="61"/>
        <v>0</v>
      </c>
      <c r="J187" s="5">
        <f t="shared" si="61"/>
        <v>0</v>
      </c>
      <c r="K187" s="5">
        <f t="shared" si="61"/>
        <v>0</v>
      </c>
      <c r="L187" s="5">
        <f t="shared" si="61"/>
        <v>0</v>
      </c>
      <c r="M187" s="5">
        <f t="shared" si="61"/>
        <v>0</v>
      </c>
      <c r="N187" s="5">
        <f t="shared" si="61"/>
        <v>0</v>
      </c>
      <c r="O187" s="5">
        <f t="shared" si="61"/>
        <v>776.1</v>
      </c>
      <c r="P187" s="5">
        <f t="shared" si="61"/>
        <v>34856.94</v>
      </c>
      <c r="Q187" s="5">
        <f t="shared" si="61"/>
        <v>0</v>
      </c>
      <c r="R187" s="5">
        <f t="shared" si="61"/>
        <v>0</v>
      </c>
      <c r="S187" s="5">
        <f t="shared" si="61"/>
        <v>0</v>
      </c>
      <c r="T187" s="5">
        <f t="shared" si="61"/>
        <v>0</v>
      </c>
      <c r="U187" s="5">
        <f t="shared" si="61"/>
        <v>0</v>
      </c>
      <c r="V187" s="5">
        <f t="shared" si="61"/>
        <v>0</v>
      </c>
      <c r="W187" s="5">
        <f t="shared" si="61"/>
        <v>0</v>
      </c>
      <c r="X187" s="5">
        <f t="shared" si="61"/>
        <v>0</v>
      </c>
      <c r="Y187" s="5">
        <f t="shared" si="61"/>
        <v>0</v>
      </c>
      <c r="Z187" s="5">
        <f t="shared" si="61"/>
        <v>0</v>
      </c>
      <c r="AA187" s="5">
        <f t="shared" si="61"/>
        <v>0</v>
      </c>
      <c r="AB187" s="5">
        <f t="shared" si="61"/>
        <v>0</v>
      </c>
      <c r="AC187" s="5">
        <f t="shared" si="61"/>
        <v>0</v>
      </c>
      <c r="AD187" s="5">
        <f t="shared" si="61"/>
        <v>0</v>
      </c>
      <c r="AE187" s="5">
        <f t="shared" si="61"/>
        <v>466.46999999999997</v>
      </c>
      <c r="AF187" s="5">
        <f t="shared" si="61"/>
        <v>0</v>
      </c>
      <c r="AG187" s="5">
        <f t="shared" si="61"/>
        <v>0</v>
      </c>
      <c r="AH187" s="66" t="s">
        <v>131</v>
      </c>
      <c r="AI187" s="66" t="s">
        <v>131</v>
      </c>
      <c r="AJ187" s="66" t="s">
        <v>131</v>
      </c>
      <c r="AK187" s="15"/>
      <c r="AL187" s="15"/>
      <c r="AM187" s="15"/>
      <c r="AN187" s="15"/>
    </row>
    <row r="188" spans="1:40" ht="62.25">
      <c r="A188" s="1">
        <v>1</v>
      </c>
      <c r="B188" s="17">
        <f>SUBTOTAL(103,$A$92:A188)</f>
        <v>87</v>
      </c>
      <c r="C188" s="64" t="s">
        <v>322</v>
      </c>
      <c r="D188" s="22" t="s">
        <v>379</v>
      </c>
      <c r="E188" s="20">
        <v>0.93579999999999997</v>
      </c>
      <c r="F188" s="5">
        <f>G188+H188+I188+J188+K188+L188+N188+P188+R188+T188+V188+W188+X188+Y188+Z188+AA188+AB188+AC188+AD188+AE188+AF188+AG188</f>
        <v>11164.380000000001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24">
        <v>0</v>
      </c>
      <c r="N188" s="5">
        <v>0</v>
      </c>
      <c r="O188" s="5">
        <v>471.6</v>
      </c>
      <c r="P188" s="5">
        <v>11054.94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109.44</v>
      </c>
      <c r="AF188" s="5">
        <v>0</v>
      </c>
      <c r="AG188" s="5">
        <v>0</v>
      </c>
      <c r="AH188" s="66" t="s">
        <v>49</v>
      </c>
      <c r="AI188" s="66">
        <v>2020</v>
      </c>
      <c r="AJ188" s="66">
        <v>2020</v>
      </c>
      <c r="AK188" s="15"/>
      <c r="AL188" s="15"/>
      <c r="AM188" s="15"/>
      <c r="AN188" s="15"/>
    </row>
    <row r="189" spans="1:40" ht="62.25">
      <c r="A189" s="1">
        <v>1</v>
      </c>
      <c r="B189" s="17">
        <f>SUBTOTAL(103,$A$92:A189)</f>
        <v>88</v>
      </c>
      <c r="C189" s="64" t="s">
        <v>565</v>
      </c>
      <c r="D189" s="22" t="s">
        <v>554</v>
      </c>
      <c r="E189" s="20">
        <v>0.89300000000000002</v>
      </c>
      <c r="F189" s="5">
        <f>P189+AE189</f>
        <v>24159.03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24">
        <v>0</v>
      </c>
      <c r="N189" s="5">
        <v>0</v>
      </c>
      <c r="O189" s="5">
        <v>304.5</v>
      </c>
      <c r="P189" s="5">
        <v>23802</v>
      </c>
      <c r="Q189" s="5">
        <v>0</v>
      </c>
      <c r="R189" s="5">
        <v>0</v>
      </c>
      <c r="S189" s="5">
        <v>0</v>
      </c>
      <c r="T189" s="67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f>ROUND(P189*1.5%,2)</f>
        <v>357.03</v>
      </c>
      <c r="AF189" s="5">
        <v>0</v>
      </c>
      <c r="AG189" s="5">
        <v>0</v>
      </c>
      <c r="AH189" s="66" t="s">
        <v>49</v>
      </c>
      <c r="AI189" s="66">
        <v>2021</v>
      </c>
      <c r="AJ189" s="66">
        <v>2021</v>
      </c>
      <c r="AK189" s="15"/>
      <c r="AL189" s="15"/>
      <c r="AM189" s="15"/>
      <c r="AN189" s="15"/>
    </row>
    <row r="190" spans="1:40" ht="62.25">
      <c r="B190" s="63" t="s">
        <v>122</v>
      </c>
      <c r="C190" s="64"/>
      <c r="D190" s="65" t="s">
        <v>131</v>
      </c>
      <c r="E190" s="20">
        <f>E191</f>
        <v>0.9657</v>
      </c>
      <c r="F190" s="5">
        <f>F191</f>
        <v>778244.79</v>
      </c>
      <c r="G190" s="5">
        <f t="shared" ref="G190:AG190" si="62">G191</f>
        <v>0</v>
      </c>
      <c r="H190" s="5">
        <f t="shared" si="62"/>
        <v>0</v>
      </c>
      <c r="I190" s="5">
        <f t="shared" si="62"/>
        <v>0</v>
      </c>
      <c r="J190" s="5">
        <f t="shared" si="62"/>
        <v>0</v>
      </c>
      <c r="K190" s="5">
        <f t="shared" si="62"/>
        <v>0</v>
      </c>
      <c r="L190" s="5">
        <f t="shared" si="62"/>
        <v>0</v>
      </c>
      <c r="M190" s="24">
        <f t="shared" si="62"/>
        <v>0</v>
      </c>
      <c r="N190" s="5">
        <f t="shared" si="62"/>
        <v>0</v>
      </c>
      <c r="O190" s="5">
        <f t="shared" si="62"/>
        <v>972.5</v>
      </c>
      <c r="P190" s="5">
        <f t="shared" si="62"/>
        <v>766743.64</v>
      </c>
      <c r="Q190" s="5">
        <f t="shared" si="62"/>
        <v>0</v>
      </c>
      <c r="R190" s="5">
        <f t="shared" si="62"/>
        <v>0</v>
      </c>
      <c r="S190" s="5">
        <f t="shared" si="62"/>
        <v>0</v>
      </c>
      <c r="T190" s="5">
        <f t="shared" si="62"/>
        <v>0</v>
      </c>
      <c r="U190" s="5">
        <f t="shared" si="62"/>
        <v>0</v>
      </c>
      <c r="V190" s="5">
        <f t="shared" si="62"/>
        <v>0</v>
      </c>
      <c r="W190" s="5">
        <f t="shared" si="62"/>
        <v>0</v>
      </c>
      <c r="X190" s="5">
        <f t="shared" si="62"/>
        <v>0</v>
      </c>
      <c r="Y190" s="5">
        <f t="shared" si="62"/>
        <v>0</v>
      </c>
      <c r="Z190" s="5">
        <f t="shared" si="62"/>
        <v>0</v>
      </c>
      <c r="AA190" s="5">
        <f t="shared" si="62"/>
        <v>0</v>
      </c>
      <c r="AB190" s="5">
        <f t="shared" si="62"/>
        <v>0</v>
      </c>
      <c r="AC190" s="5">
        <f t="shared" si="62"/>
        <v>0</v>
      </c>
      <c r="AD190" s="5">
        <f t="shared" si="62"/>
        <v>0</v>
      </c>
      <c r="AE190" s="5">
        <f t="shared" si="62"/>
        <v>11501.15</v>
      </c>
      <c r="AF190" s="5">
        <f t="shared" si="62"/>
        <v>0</v>
      </c>
      <c r="AG190" s="5">
        <f t="shared" si="62"/>
        <v>0</v>
      </c>
      <c r="AH190" s="66" t="s">
        <v>131</v>
      </c>
      <c r="AI190" s="66" t="s">
        <v>131</v>
      </c>
      <c r="AJ190" s="66" t="s">
        <v>131</v>
      </c>
      <c r="AK190" s="15"/>
      <c r="AL190" s="15"/>
      <c r="AM190" s="15"/>
      <c r="AN190" s="15"/>
    </row>
    <row r="191" spans="1:40" ht="62.25">
      <c r="A191" s="1">
        <v>1</v>
      </c>
      <c r="B191" s="17">
        <f>SUBTOTAL(103,$A$92:A191)</f>
        <v>89</v>
      </c>
      <c r="C191" s="64" t="s">
        <v>323</v>
      </c>
      <c r="D191" s="22" t="s">
        <v>379</v>
      </c>
      <c r="E191" s="20">
        <v>0.9657</v>
      </c>
      <c r="F191" s="5">
        <f>G191+H191+I191+J191+K191+L191+N191+P191+R191+T191+V191+W191+X191+Y191+Z191+AA191+AB191+AC191+AD191+AE191+AF191+AG191</f>
        <v>778244.79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24">
        <v>0</v>
      </c>
      <c r="N191" s="5">
        <v>0</v>
      </c>
      <c r="O191" s="5">
        <v>972.5</v>
      </c>
      <c r="P191" s="5">
        <v>766743.64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f>ROUND(P191*1.5%,2)</f>
        <v>11501.15</v>
      </c>
      <c r="AF191" s="5">
        <v>0</v>
      </c>
      <c r="AG191" s="5">
        <v>0</v>
      </c>
      <c r="AH191" s="66" t="s">
        <v>49</v>
      </c>
      <c r="AI191" s="66">
        <v>2020</v>
      </c>
      <c r="AJ191" s="66">
        <v>2020</v>
      </c>
      <c r="AK191" s="15"/>
      <c r="AL191" s="15"/>
      <c r="AM191" s="15"/>
      <c r="AN191" s="15"/>
    </row>
    <row r="192" spans="1:40" ht="62.25">
      <c r="B192" s="63" t="s">
        <v>113</v>
      </c>
      <c r="C192" s="64"/>
      <c r="D192" s="65" t="s">
        <v>131</v>
      </c>
      <c r="E192" s="20">
        <f>AVERAGE(E193:E197)</f>
        <v>0.82111999999999996</v>
      </c>
      <c r="F192" s="5">
        <f>SUM(F193:F197)</f>
        <v>1856585.2200000002</v>
      </c>
      <c r="G192" s="5">
        <f t="shared" ref="G192:AG192" si="63">SUM(G193:G197)</f>
        <v>0</v>
      </c>
      <c r="H192" s="5">
        <f t="shared" si="63"/>
        <v>0</v>
      </c>
      <c r="I192" s="5">
        <f t="shared" si="63"/>
        <v>0</v>
      </c>
      <c r="J192" s="5">
        <f t="shared" si="63"/>
        <v>0</v>
      </c>
      <c r="K192" s="5">
        <f t="shared" si="63"/>
        <v>0</v>
      </c>
      <c r="L192" s="5">
        <f t="shared" si="63"/>
        <v>0</v>
      </c>
      <c r="M192" s="24">
        <f t="shared" si="63"/>
        <v>0</v>
      </c>
      <c r="N192" s="5">
        <f t="shared" si="63"/>
        <v>0</v>
      </c>
      <c r="O192" s="5">
        <f t="shared" si="63"/>
        <v>3056.1</v>
      </c>
      <c r="P192" s="5">
        <f t="shared" si="63"/>
        <v>1599138.5899999999</v>
      </c>
      <c r="Q192" s="5">
        <f t="shared" si="63"/>
        <v>0</v>
      </c>
      <c r="R192" s="5">
        <f t="shared" si="63"/>
        <v>0</v>
      </c>
      <c r="S192" s="5">
        <f t="shared" si="63"/>
        <v>157.6</v>
      </c>
      <c r="T192" s="5">
        <f t="shared" si="63"/>
        <v>230009.4</v>
      </c>
      <c r="U192" s="5">
        <f t="shared" si="63"/>
        <v>0</v>
      </c>
      <c r="V192" s="5">
        <f t="shared" si="63"/>
        <v>0</v>
      </c>
      <c r="W192" s="5">
        <f t="shared" si="63"/>
        <v>0</v>
      </c>
      <c r="X192" s="5">
        <f t="shared" si="63"/>
        <v>0</v>
      </c>
      <c r="Y192" s="5">
        <f t="shared" si="63"/>
        <v>0</v>
      </c>
      <c r="Z192" s="5">
        <f t="shared" si="63"/>
        <v>0</v>
      </c>
      <c r="AA192" s="5">
        <f t="shared" si="63"/>
        <v>0</v>
      </c>
      <c r="AB192" s="5">
        <f t="shared" si="63"/>
        <v>0</v>
      </c>
      <c r="AC192" s="5">
        <f t="shared" si="63"/>
        <v>0</v>
      </c>
      <c r="AD192" s="5">
        <f t="shared" si="63"/>
        <v>0</v>
      </c>
      <c r="AE192" s="5">
        <f t="shared" si="63"/>
        <v>27437.230000000003</v>
      </c>
      <c r="AF192" s="5">
        <f t="shared" si="63"/>
        <v>0</v>
      </c>
      <c r="AG192" s="5">
        <f t="shared" si="63"/>
        <v>0</v>
      </c>
      <c r="AH192" s="66" t="s">
        <v>131</v>
      </c>
      <c r="AI192" s="66" t="s">
        <v>131</v>
      </c>
      <c r="AJ192" s="66" t="s">
        <v>131</v>
      </c>
      <c r="AK192" s="15"/>
      <c r="AL192" s="15"/>
      <c r="AM192" s="15"/>
      <c r="AN192" s="15"/>
    </row>
    <row r="193" spans="1:40" ht="62.25">
      <c r="A193" s="1">
        <v>1</v>
      </c>
      <c r="B193" s="17">
        <f>SUBTOTAL(103,$A$92:A193)</f>
        <v>90</v>
      </c>
      <c r="C193" s="64" t="s">
        <v>324</v>
      </c>
      <c r="D193" s="22" t="s">
        <v>379</v>
      </c>
      <c r="E193" s="20">
        <v>0.83589999999999998</v>
      </c>
      <c r="F193" s="5">
        <f>G193+H193+I193+J193+K193+L193+N193+P193+R193+T193+V193+W193+X193+Y193+Z193+AA193+AB193+AC193+AD193+AE193+AF193+AG193</f>
        <v>672709.20000000007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24">
        <v>0</v>
      </c>
      <c r="N193" s="5">
        <v>0</v>
      </c>
      <c r="O193" s="5">
        <v>958</v>
      </c>
      <c r="P193" s="5">
        <v>662767.68000000005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f>ROUND(P193*1.5%,2)</f>
        <v>9941.52</v>
      </c>
      <c r="AF193" s="5">
        <v>0</v>
      </c>
      <c r="AG193" s="5">
        <v>0</v>
      </c>
      <c r="AH193" s="66" t="s">
        <v>49</v>
      </c>
      <c r="AI193" s="66">
        <v>2020</v>
      </c>
      <c r="AJ193" s="66">
        <v>2020</v>
      </c>
      <c r="AK193" s="15"/>
      <c r="AL193" s="15"/>
      <c r="AM193" s="15"/>
      <c r="AN193" s="15"/>
    </row>
    <row r="194" spans="1:40" ht="62.25">
      <c r="A194" s="1">
        <v>1</v>
      </c>
      <c r="B194" s="17">
        <f>SUBTOTAL(103,$A$92:A194)</f>
        <v>91</v>
      </c>
      <c r="C194" s="64" t="s">
        <v>325</v>
      </c>
      <c r="D194" s="22" t="s">
        <v>379</v>
      </c>
      <c r="E194" s="20">
        <v>0.86939999999999995</v>
      </c>
      <c r="F194" s="5">
        <f>G194+H194+I194+J194+K194+L194+N194+P194+R194+T194+V194+W194+X194+Y194+Z194+AA194+AB194+AC194+AD194+AE194+AF194+AG194</f>
        <v>5758.94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24">
        <v>0</v>
      </c>
      <c r="N194" s="5">
        <v>0</v>
      </c>
      <c r="O194" s="5">
        <v>611</v>
      </c>
      <c r="P194" s="5">
        <v>5673.83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f>ROUND(P194*1.5%,2)</f>
        <v>85.11</v>
      </c>
      <c r="AF194" s="5">
        <v>0</v>
      </c>
      <c r="AG194" s="5">
        <v>0</v>
      </c>
      <c r="AH194" s="66" t="s">
        <v>49</v>
      </c>
      <c r="AI194" s="66">
        <v>2020</v>
      </c>
      <c r="AJ194" s="66">
        <v>2020</v>
      </c>
      <c r="AK194" s="15"/>
      <c r="AL194" s="15"/>
      <c r="AM194" s="15"/>
      <c r="AN194" s="15"/>
    </row>
    <row r="195" spans="1:40" ht="62.25">
      <c r="A195" s="1">
        <v>1</v>
      </c>
      <c r="B195" s="17">
        <f>SUBTOTAL(103,$A$92:A195)</f>
        <v>92</v>
      </c>
      <c r="C195" s="64" t="s">
        <v>326</v>
      </c>
      <c r="D195" s="26" t="s">
        <v>554</v>
      </c>
      <c r="E195" s="20">
        <v>0.62490000000000001</v>
      </c>
      <c r="F195" s="5">
        <f>G195+H195+I195+J195+K195+L195+N195+P195+R195+T195+V195+W195+X195+Y195+Z195+AA195+AB195+AC195+AD195+AE195+AF195+AG195</f>
        <v>233459.54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24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157.6</v>
      </c>
      <c r="T195" s="5">
        <v>230009.4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f>ROUND(T195*1.5%,2)</f>
        <v>3450.14</v>
      </c>
      <c r="AF195" s="5">
        <v>0</v>
      </c>
      <c r="AG195" s="5">
        <v>0</v>
      </c>
      <c r="AH195" s="66" t="s">
        <v>49</v>
      </c>
      <c r="AI195" s="66">
        <v>2020</v>
      </c>
      <c r="AJ195" s="66">
        <v>2020</v>
      </c>
      <c r="AK195" s="15"/>
      <c r="AL195" s="15"/>
      <c r="AM195" s="15"/>
      <c r="AN195" s="15"/>
    </row>
    <row r="196" spans="1:40" ht="62.25">
      <c r="A196" s="1">
        <v>1</v>
      </c>
      <c r="B196" s="17">
        <f>SUBTOTAL(103,$A$92:A196)</f>
        <v>93</v>
      </c>
      <c r="C196" s="64" t="s">
        <v>353</v>
      </c>
      <c r="D196" s="22" t="s">
        <v>554</v>
      </c>
      <c r="E196" s="20">
        <v>0.875</v>
      </c>
      <c r="F196" s="5">
        <f>G196+H196+I196+J196+K196+L196+N196+P196+R196+T196+V196+W196+X196+Y196+Z196+AA196+AB196+AC196+AD196+AE196+AF196+AG196</f>
        <v>57671.29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24">
        <v>0</v>
      </c>
      <c r="N196" s="5">
        <v>0</v>
      </c>
      <c r="O196" s="5">
        <v>508</v>
      </c>
      <c r="P196" s="5">
        <v>56819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f>ROUND(P196*1.5%,2)</f>
        <v>852.29</v>
      </c>
      <c r="AF196" s="5">
        <v>0</v>
      </c>
      <c r="AG196" s="5">
        <v>0</v>
      </c>
      <c r="AH196" s="66" t="s">
        <v>49</v>
      </c>
      <c r="AI196" s="6">
        <v>2021</v>
      </c>
      <c r="AJ196" s="6">
        <v>2021</v>
      </c>
      <c r="AK196" s="15"/>
      <c r="AL196" s="15"/>
      <c r="AM196" s="15"/>
      <c r="AN196" s="15"/>
    </row>
    <row r="197" spans="1:40" ht="62.25">
      <c r="A197" s="1">
        <v>1</v>
      </c>
      <c r="B197" s="17">
        <f>SUBTOTAL(103,$A$92:A197)</f>
        <v>94</v>
      </c>
      <c r="C197" s="64" t="s">
        <v>893</v>
      </c>
      <c r="D197" s="22">
        <v>2015</v>
      </c>
      <c r="E197" s="20">
        <v>0.90039999999999998</v>
      </c>
      <c r="F197" s="5">
        <f>G197+H197+I197+J197+K197+L197+N197+P197+R197+T197+V197+W197+X197+Y197+Z197+AA197+AB197+AC197+AD197+AE197+AF197+AG197</f>
        <v>886986.25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24">
        <v>0</v>
      </c>
      <c r="N197" s="5">
        <v>0</v>
      </c>
      <c r="O197" s="5">
        <v>979.1</v>
      </c>
      <c r="P197" s="5">
        <v>873878.08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f>ROUND(P197*1.5%,2)</f>
        <v>13108.17</v>
      </c>
      <c r="AF197" s="5">
        <v>0</v>
      </c>
      <c r="AG197" s="5">
        <v>0</v>
      </c>
      <c r="AH197" s="66" t="s">
        <v>49</v>
      </c>
      <c r="AI197" s="6">
        <v>2021</v>
      </c>
      <c r="AJ197" s="6">
        <v>2021</v>
      </c>
      <c r="AK197" s="15"/>
      <c r="AL197" s="15"/>
      <c r="AM197" s="15"/>
      <c r="AN197" s="15"/>
    </row>
    <row r="198" spans="1:40" ht="62.25">
      <c r="B198" s="63" t="s">
        <v>125</v>
      </c>
      <c r="C198" s="64"/>
      <c r="D198" s="65" t="s">
        <v>131</v>
      </c>
      <c r="E198" s="20">
        <f>E199</f>
        <v>0.93430000000000002</v>
      </c>
      <c r="F198" s="5">
        <f>F199</f>
        <v>425208.96</v>
      </c>
      <c r="G198" s="5">
        <f t="shared" ref="G198:AG198" si="64">G199</f>
        <v>0</v>
      </c>
      <c r="H198" s="5">
        <f t="shared" si="64"/>
        <v>0</v>
      </c>
      <c r="I198" s="5">
        <f t="shared" si="64"/>
        <v>0</v>
      </c>
      <c r="J198" s="5">
        <f t="shared" si="64"/>
        <v>0</v>
      </c>
      <c r="K198" s="5">
        <f t="shared" si="64"/>
        <v>0</v>
      </c>
      <c r="L198" s="5">
        <f t="shared" si="64"/>
        <v>0</v>
      </c>
      <c r="M198" s="24">
        <f t="shared" si="64"/>
        <v>0</v>
      </c>
      <c r="N198" s="5">
        <f t="shared" si="64"/>
        <v>0</v>
      </c>
      <c r="O198" s="5">
        <f t="shared" si="64"/>
        <v>1223</v>
      </c>
      <c r="P198" s="5">
        <f t="shared" si="64"/>
        <v>425208.96</v>
      </c>
      <c r="Q198" s="5">
        <f t="shared" si="64"/>
        <v>0</v>
      </c>
      <c r="R198" s="5">
        <f t="shared" si="64"/>
        <v>0</v>
      </c>
      <c r="S198" s="5">
        <f t="shared" si="64"/>
        <v>0</v>
      </c>
      <c r="T198" s="5">
        <f t="shared" si="64"/>
        <v>0</v>
      </c>
      <c r="U198" s="5">
        <f t="shared" si="64"/>
        <v>0</v>
      </c>
      <c r="V198" s="5">
        <f t="shared" si="64"/>
        <v>0</v>
      </c>
      <c r="W198" s="5">
        <f t="shared" si="64"/>
        <v>0</v>
      </c>
      <c r="X198" s="5">
        <f t="shared" si="64"/>
        <v>0</v>
      </c>
      <c r="Y198" s="5">
        <f t="shared" si="64"/>
        <v>0</v>
      </c>
      <c r="Z198" s="5">
        <f t="shared" si="64"/>
        <v>0</v>
      </c>
      <c r="AA198" s="5">
        <f t="shared" si="64"/>
        <v>0</v>
      </c>
      <c r="AB198" s="5">
        <f t="shared" si="64"/>
        <v>0</v>
      </c>
      <c r="AC198" s="5">
        <f t="shared" si="64"/>
        <v>0</v>
      </c>
      <c r="AD198" s="5">
        <f t="shared" si="64"/>
        <v>0</v>
      </c>
      <c r="AE198" s="5">
        <f t="shared" si="64"/>
        <v>0</v>
      </c>
      <c r="AF198" s="5">
        <f t="shared" si="64"/>
        <v>0</v>
      </c>
      <c r="AG198" s="5">
        <f t="shared" si="64"/>
        <v>0</v>
      </c>
      <c r="AH198" s="66" t="s">
        <v>131</v>
      </c>
      <c r="AI198" s="66" t="s">
        <v>131</v>
      </c>
      <c r="AJ198" s="66" t="s">
        <v>131</v>
      </c>
      <c r="AK198" s="15"/>
      <c r="AL198" s="15"/>
      <c r="AM198" s="15"/>
      <c r="AN198" s="15"/>
    </row>
    <row r="199" spans="1:40" ht="62.25">
      <c r="A199" s="1">
        <v>1</v>
      </c>
      <c r="B199" s="17">
        <f>SUBTOTAL(103,$A$92:A199)</f>
        <v>95</v>
      </c>
      <c r="C199" s="64" t="s">
        <v>327</v>
      </c>
      <c r="D199" s="22" t="s">
        <v>553</v>
      </c>
      <c r="E199" s="20">
        <v>0.93430000000000002</v>
      </c>
      <c r="F199" s="5">
        <f>G199+H199+I199+J199+K199+L199+N199+P199+R199+T199+V199+W199+X199+Y199+Z199+AA199+AB199+AC199+AD199+AE199+AF199+AG199</f>
        <v>425208.96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24">
        <v>0</v>
      </c>
      <c r="N199" s="5">
        <v>0</v>
      </c>
      <c r="O199" s="5">
        <v>1223</v>
      </c>
      <c r="P199" s="5">
        <v>425208.96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  <c r="AB199" s="5">
        <v>0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66" t="s">
        <v>49</v>
      </c>
      <c r="AI199" s="66">
        <v>2020</v>
      </c>
      <c r="AJ199" s="66" t="s">
        <v>49</v>
      </c>
      <c r="AK199" s="15"/>
      <c r="AL199" s="15"/>
      <c r="AM199" s="15"/>
      <c r="AN199" s="15"/>
    </row>
    <row r="200" spans="1:40" ht="62.25">
      <c r="B200" s="63" t="s">
        <v>105</v>
      </c>
      <c r="C200" s="64"/>
      <c r="D200" s="65" t="s">
        <v>131</v>
      </c>
      <c r="E200" s="20">
        <f>AVERAGE(E201:E202)</f>
        <v>0.96888059793717207</v>
      </c>
      <c r="F200" s="5">
        <f>F201+F202</f>
        <v>243092.59999999998</v>
      </c>
      <c r="G200" s="5">
        <f t="shared" ref="G200:AG200" si="65">G201+G202</f>
        <v>0</v>
      </c>
      <c r="H200" s="5">
        <f t="shared" si="65"/>
        <v>0</v>
      </c>
      <c r="I200" s="5">
        <f t="shared" si="65"/>
        <v>0</v>
      </c>
      <c r="J200" s="5">
        <f t="shared" si="65"/>
        <v>0</v>
      </c>
      <c r="K200" s="5">
        <f t="shared" si="65"/>
        <v>0</v>
      </c>
      <c r="L200" s="5">
        <f t="shared" si="65"/>
        <v>0</v>
      </c>
      <c r="M200" s="5">
        <f t="shared" si="65"/>
        <v>0</v>
      </c>
      <c r="N200" s="5">
        <f t="shared" si="65"/>
        <v>0</v>
      </c>
      <c r="O200" s="5">
        <f t="shared" si="65"/>
        <v>1404.8</v>
      </c>
      <c r="P200" s="5">
        <f t="shared" si="65"/>
        <v>239500.09999999998</v>
      </c>
      <c r="Q200" s="5">
        <f t="shared" si="65"/>
        <v>0</v>
      </c>
      <c r="R200" s="5">
        <f t="shared" si="65"/>
        <v>0</v>
      </c>
      <c r="S200" s="5">
        <f t="shared" si="65"/>
        <v>0</v>
      </c>
      <c r="T200" s="5">
        <f t="shared" si="65"/>
        <v>0</v>
      </c>
      <c r="U200" s="5">
        <f t="shared" si="65"/>
        <v>0</v>
      </c>
      <c r="V200" s="5">
        <f t="shared" si="65"/>
        <v>0</v>
      </c>
      <c r="W200" s="5">
        <f t="shared" si="65"/>
        <v>0</v>
      </c>
      <c r="X200" s="5">
        <f t="shared" si="65"/>
        <v>0</v>
      </c>
      <c r="Y200" s="5">
        <f t="shared" si="65"/>
        <v>0</v>
      </c>
      <c r="Z200" s="5">
        <f t="shared" si="65"/>
        <v>0</v>
      </c>
      <c r="AA200" s="5">
        <f t="shared" si="65"/>
        <v>0</v>
      </c>
      <c r="AB200" s="5">
        <f t="shared" si="65"/>
        <v>0</v>
      </c>
      <c r="AC200" s="5">
        <f t="shared" si="65"/>
        <v>0</v>
      </c>
      <c r="AD200" s="5">
        <f t="shared" si="65"/>
        <v>0</v>
      </c>
      <c r="AE200" s="5">
        <f t="shared" si="65"/>
        <v>3592.5</v>
      </c>
      <c r="AF200" s="5">
        <f t="shared" si="65"/>
        <v>0</v>
      </c>
      <c r="AG200" s="5">
        <f t="shared" si="65"/>
        <v>0</v>
      </c>
      <c r="AH200" s="66" t="s">
        <v>131</v>
      </c>
      <c r="AI200" s="66" t="s">
        <v>131</v>
      </c>
      <c r="AJ200" s="66" t="s">
        <v>131</v>
      </c>
      <c r="AK200" s="15"/>
      <c r="AL200" s="15"/>
      <c r="AM200" s="15"/>
      <c r="AN200" s="15"/>
    </row>
    <row r="201" spans="1:40" ht="62.25">
      <c r="A201" s="1">
        <v>1</v>
      </c>
      <c r="B201" s="17">
        <f>SUBTOTAL(103,$A$92:A201)</f>
        <v>96</v>
      </c>
      <c r="C201" s="64" t="s">
        <v>328</v>
      </c>
      <c r="D201" s="22" t="s">
        <v>553</v>
      </c>
      <c r="E201" s="20">
        <v>0.96641898912086177</v>
      </c>
      <c r="F201" s="5">
        <f>G201+H201+I201+J201+K201+L201+N201+P201+R201+T201+V201+W201+X201+Y201+Z201+AA201+AB201+AC201+AD201+AE201+AF201+AG201</f>
        <v>218819.08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24">
        <v>0</v>
      </c>
      <c r="N201" s="5">
        <v>0</v>
      </c>
      <c r="O201" s="5">
        <v>729.8</v>
      </c>
      <c r="P201" s="5">
        <v>215585.3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f>ROUND(P201*1.5%,2)</f>
        <v>3233.78</v>
      </c>
      <c r="AF201" s="5">
        <v>0</v>
      </c>
      <c r="AG201" s="5">
        <v>0</v>
      </c>
      <c r="AH201" s="66" t="s">
        <v>49</v>
      </c>
      <c r="AI201" s="66">
        <v>2020</v>
      </c>
      <c r="AJ201" s="66">
        <v>2020</v>
      </c>
      <c r="AK201" s="15"/>
      <c r="AL201" s="15"/>
      <c r="AM201" s="15"/>
      <c r="AN201" s="15"/>
    </row>
    <row r="202" spans="1:40" ht="62.25">
      <c r="A202" s="1">
        <v>1</v>
      </c>
      <c r="B202" s="17">
        <f>SUBTOTAL(103,$A$92:A202)</f>
        <v>97</v>
      </c>
      <c r="C202" s="64" t="s">
        <v>566</v>
      </c>
      <c r="D202" s="22" t="s">
        <v>554</v>
      </c>
      <c r="E202" s="20">
        <v>0.97134220675348237</v>
      </c>
      <c r="F202" s="5">
        <f>P202+AE202</f>
        <v>24273.52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24">
        <v>0</v>
      </c>
      <c r="N202" s="5">
        <v>0</v>
      </c>
      <c r="O202" s="5">
        <v>675</v>
      </c>
      <c r="P202" s="5">
        <v>23914.799999999999</v>
      </c>
      <c r="Q202" s="5">
        <v>0</v>
      </c>
      <c r="R202" s="5">
        <v>0</v>
      </c>
      <c r="S202" s="5">
        <v>0</v>
      </c>
      <c r="T202" s="67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f>ROUND(P202*1.5%,2)</f>
        <v>358.72</v>
      </c>
      <c r="AF202" s="5">
        <v>0</v>
      </c>
      <c r="AG202" s="5">
        <v>0</v>
      </c>
      <c r="AH202" s="66" t="s">
        <v>49</v>
      </c>
      <c r="AI202" s="66">
        <v>2021</v>
      </c>
      <c r="AJ202" s="66">
        <v>2021</v>
      </c>
      <c r="AK202" s="15"/>
      <c r="AL202" s="15"/>
      <c r="AM202" s="15"/>
      <c r="AN202" s="15"/>
    </row>
    <row r="203" spans="1:40" ht="62.25">
      <c r="B203" s="63" t="s">
        <v>112</v>
      </c>
      <c r="C203" s="64"/>
      <c r="D203" s="65" t="s">
        <v>131</v>
      </c>
      <c r="E203" s="20">
        <f>AVERAGE(E204:E205)</f>
        <v>0.79569999999999996</v>
      </c>
      <c r="F203" s="5">
        <f>F204+F205</f>
        <v>1988549.43</v>
      </c>
      <c r="G203" s="5">
        <f t="shared" ref="G203:AF203" si="66">G204+G205</f>
        <v>0</v>
      </c>
      <c r="H203" s="5">
        <f t="shared" si="66"/>
        <v>0</v>
      </c>
      <c r="I203" s="5">
        <f t="shared" si="66"/>
        <v>0</v>
      </c>
      <c r="J203" s="5">
        <f t="shared" si="66"/>
        <v>0</v>
      </c>
      <c r="K203" s="5">
        <f t="shared" si="66"/>
        <v>0</v>
      </c>
      <c r="L203" s="5">
        <f t="shared" si="66"/>
        <v>0</v>
      </c>
      <c r="M203" s="24">
        <f t="shared" si="66"/>
        <v>0</v>
      </c>
      <c r="N203" s="5">
        <f t="shared" si="66"/>
        <v>0</v>
      </c>
      <c r="O203" s="5">
        <f t="shared" si="66"/>
        <v>4741.7</v>
      </c>
      <c r="P203" s="5">
        <f t="shared" si="66"/>
        <v>1959162</v>
      </c>
      <c r="Q203" s="5">
        <f t="shared" si="66"/>
        <v>0</v>
      </c>
      <c r="R203" s="5">
        <f t="shared" si="66"/>
        <v>0</v>
      </c>
      <c r="S203" s="5">
        <f t="shared" si="66"/>
        <v>0</v>
      </c>
      <c r="T203" s="5">
        <f t="shared" si="66"/>
        <v>0</v>
      </c>
      <c r="U203" s="5">
        <f t="shared" si="66"/>
        <v>0</v>
      </c>
      <c r="V203" s="5">
        <f t="shared" si="66"/>
        <v>0</v>
      </c>
      <c r="W203" s="5">
        <f t="shared" si="66"/>
        <v>0</v>
      </c>
      <c r="X203" s="5">
        <f t="shared" si="66"/>
        <v>0</v>
      </c>
      <c r="Y203" s="5">
        <f t="shared" si="66"/>
        <v>0</v>
      </c>
      <c r="Z203" s="5">
        <f t="shared" si="66"/>
        <v>0</v>
      </c>
      <c r="AA203" s="5">
        <f t="shared" si="66"/>
        <v>0</v>
      </c>
      <c r="AB203" s="5">
        <f t="shared" si="66"/>
        <v>0</v>
      </c>
      <c r="AC203" s="5">
        <f t="shared" si="66"/>
        <v>0</v>
      </c>
      <c r="AD203" s="5">
        <f t="shared" si="66"/>
        <v>0</v>
      </c>
      <c r="AE203" s="5">
        <f t="shared" si="66"/>
        <v>29387.43</v>
      </c>
      <c r="AF203" s="5">
        <f t="shared" si="66"/>
        <v>0</v>
      </c>
      <c r="AG203" s="5">
        <f>AG204+AG205</f>
        <v>0</v>
      </c>
      <c r="AH203" s="66" t="s">
        <v>131</v>
      </c>
      <c r="AI203" s="66" t="s">
        <v>131</v>
      </c>
      <c r="AJ203" s="66" t="s">
        <v>131</v>
      </c>
      <c r="AK203" s="15"/>
      <c r="AL203" s="15"/>
      <c r="AM203" s="15"/>
      <c r="AN203" s="15"/>
    </row>
    <row r="204" spans="1:40" ht="62.25">
      <c r="A204" s="1">
        <v>1</v>
      </c>
      <c r="B204" s="17">
        <f>SUBTOTAL(103,$A$92:A204)</f>
        <v>98</v>
      </c>
      <c r="C204" s="64" t="s">
        <v>329</v>
      </c>
      <c r="D204" s="22" t="s">
        <v>379</v>
      </c>
      <c r="E204" s="20">
        <v>0.87239999999999995</v>
      </c>
      <c r="F204" s="5">
        <f>G204+H204+I204+J204+K204+L204+N204+P204+R204+T204+V204+W204+X204+Y204+Z204+AA204+AB204+AC204+AD204+AE204+AF204+AG204</f>
        <v>83534.5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24">
        <v>0</v>
      </c>
      <c r="N204" s="5">
        <v>0</v>
      </c>
      <c r="O204" s="5">
        <v>2780.7</v>
      </c>
      <c r="P204" s="5">
        <v>82300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v>0</v>
      </c>
      <c r="AC204" s="5">
        <v>0</v>
      </c>
      <c r="AD204" s="5">
        <v>0</v>
      </c>
      <c r="AE204" s="5">
        <f>ROUND(P204*1.5%,2)</f>
        <v>1234.5</v>
      </c>
      <c r="AF204" s="5">
        <v>0</v>
      </c>
      <c r="AG204" s="5">
        <v>0</v>
      </c>
      <c r="AH204" s="66" t="s">
        <v>49</v>
      </c>
      <c r="AI204" s="6">
        <v>2021</v>
      </c>
      <c r="AJ204" s="6">
        <v>2021</v>
      </c>
      <c r="AK204" s="15"/>
      <c r="AL204" s="15"/>
      <c r="AM204" s="15"/>
      <c r="AN204" s="15"/>
    </row>
    <row r="205" spans="1:40" ht="62.25">
      <c r="A205" s="1">
        <v>1</v>
      </c>
      <c r="B205" s="17">
        <f>SUBTOTAL(103,$A$92:A205)</f>
        <v>99</v>
      </c>
      <c r="C205" s="64" t="s">
        <v>330</v>
      </c>
      <c r="D205" s="22" t="s">
        <v>554</v>
      </c>
      <c r="E205" s="20">
        <v>0.71899999999999997</v>
      </c>
      <c r="F205" s="5">
        <f>G205+H205+I205+J205+K205+L205+N205+P205+R205+T205+V205+W205+X205+Y205+Z205+AA205+AB205+AC205+AD205+AE205+AF205+AG205</f>
        <v>1905014.93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24">
        <v>0</v>
      </c>
      <c r="N205" s="5">
        <v>0</v>
      </c>
      <c r="O205" s="5">
        <v>1961</v>
      </c>
      <c r="P205" s="5">
        <v>1876862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  <c r="AB205" s="5">
        <v>0</v>
      </c>
      <c r="AC205" s="5">
        <v>0</v>
      </c>
      <c r="AD205" s="5">
        <v>0</v>
      </c>
      <c r="AE205" s="5">
        <f>ROUND(P205*1.5%,2)</f>
        <v>28152.93</v>
      </c>
      <c r="AF205" s="5">
        <v>0</v>
      </c>
      <c r="AG205" s="5">
        <v>0</v>
      </c>
      <c r="AH205" s="66" t="s">
        <v>49</v>
      </c>
      <c r="AI205" s="6">
        <v>2021</v>
      </c>
      <c r="AJ205" s="6">
        <v>2021</v>
      </c>
      <c r="AK205" s="15"/>
      <c r="AL205" s="15"/>
      <c r="AM205" s="15"/>
      <c r="AN205" s="15"/>
    </row>
    <row r="206" spans="1:40" ht="62.25">
      <c r="B206" s="63" t="s">
        <v>128</v>
      </c>
      <c r="C206" s="64"/>
      <c r="D206" s="65" t="s">
        <v>131</v>
      </c>
      <c r="E206" s="20">
        <f>AVERAGE(E207:E209)</f>
        <v>0.90376666666666672</v>
      </c>
      <c r="F206" s="5">
        <f>F207+F208+F209</f>
        <v>654592.74</v>
      </c>
      <c r="G206" s="5">
        <f t="shared" ref="G206:AG206" si="67">G207+G208+G209</f>
        <v>0</v>
      </c>
      <c r="H206" s="5">
        <f t="shared" si="67"/>
        <v>0</v>
      </c>
      <c r="I206" s="5">
        <f t="shared" si="67"/>
        <v>0</v>
      </c>
      <c r="J206" s="5">
        <f t="shared" si="67"/>
        <v>0</v>
      </c>
      <c r="K206" s="5">
        <f t="shared" si="67"/>
        <v>0</v>
      </c>
      <c r="L206" s="5">
        <f t="shared" si="67"/>
        <v>0</v>
      </c>
      <c r="M206" s="5">
        <f t="shared" si="67"/>
        <v>0</v>
      </c>
      <c r="N206" s="5">
        <f t="shared" si="67"/>
        <v>0</v>
      </c>
      <c r="O206" s="5">
        <f t="shared" si="67"/>
        <v>2046.8</v>
      </c>
      <c r="P206" s="5">
        <f t="shared" si="67"/>
        <v>644918.96</v>
      </c>
      <c r="Q206" s="5">
        <f t="shared" si="67"/>
        <v>0</v>
      </c>
      <c r="R206" s="5">
        <f t="shared" si="67"/>
        <v>0</v>
      </c>
      <c r="S206" s="5">
        <f t="shared" si="67"/>
        <v>0</v>
      </c>
      <c r="T206" s="5">
        <f t="shared" si="67"/>
        <v>0</v>
      </c>
      <c r="U206" s="5">
        <f t="shared" si="67"/>
        <v>0</v>
      </c>
      <c r="V206" s="5">
        <f t="shared" si="67"/>
        <v>0</v>
      </c>
      <c r="W206" s="5">
        <f t="shared" si="67"/>
        <v>0</v>
      </c>
      <c r="X206" s="5">
        <f t="shared" si="67"/>
        <v>0</v>
      </c>
      <c r="Y206" s="5">
        <f t="shared" si="67"/>
        <v>0</v>
      </c>
      <c r="Z206" s="5">
        <f t="shared" si="67"/>
        <v>0</v>
      </c>
      <c r="AA206" s="5">
        <f t="shared" si="67"/>
        <v>0</v>
      </c>
      <c r="AB206" s="5">
        <f t="shared" si="67"/>
        <v>0</v>
      </c>
      <c r="AC206" s="5">
        <f t="shared" si="67"/>
        <v>0</v>
      </c>
      <c r="AD206" s="5">
        <f t="shared" si="67"/>
        <v>0</v>
      </c>
      <c r="AE206" s="5">
        <f t="shared" si="67"/>
        <v>9673.7800000000007</v>
      </c>
      <c r="AF206" s="5">
        <f t="shared" si="67"/>
        <v>0</v>
      </c>
      <c r="AG206" s="5">
        <f t="shared" si="67"/>
        <v>0</v>
      </c>
      <c r="AH206" s="66" t="s">
        <v>131</v>
      </c>
      <c r="AI206" s="66" t="s">
        <v>131</v>
      </c>
      <c r="AJ206" s="66" t="s">
        <v>131</v>
      </c>
      <c r="AK206" s="15"/>
      <c r="AL206" s="15"/>
      <c r="AM206" s="15"/>
      <c r="AN206" s="15"/>
    </row>
    <row r="207" spans="1:40" ht="62.25">
      <c r="A207" s="1">
        <v>1</v>
      </c>
      <c r="B207" s="17">
        <f>SUBTOTAL(103,$A$92:A207)</f>
        <v>100</v>
      </c>
      <c r="C207" s="64" t="s">
        <v>331</v>
      </c>
      <c r="D207" s="22" t="s">
        <v>554</v>
      </c>
      <c r="E207" s="20">
        <v>0.75539999999999996</v>
      </c>
      <c r="F207" s="5">
        <f>G207+H207+I207+J207+K207+L207+N207+P207+R207+T207+V207+W207+X207+Y207+Z207+AA207+AB207+AC207+AD207+AE207+AF207+AG207</f>
        <v>590350.84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24">
        <v>0</v>
      </c>
      <c r="N207" s="5">
        <v>0</v>
      </c>
      <c r="O207" s="5">
        <v>749</v>
      </c>
      <c r="P207" s="5">
        <f>543238.44+38388</f>
        <v>581626.43999999994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f>ROUND(P207*1.5%,2)</f>
        <v>8724.4</v>
      </c>
      <c r="AF207" s="5">
        <v>0</v>
      </c>
      <c r="AG207" s="5">
        <v>0</v>
      </c>
      <c r="AH207" s="66" t="s">
        <v>49</v>
      </c>
      <c r="AI207" s="66">
        <v>2020</v>
      </c>
      <c r="AJ207" s="66">
        <v>2020</v>
      </c>
      <c r="AK207" s="15"/>
      <c r="AL207" s="15"/>
      <c r="AM207" s="15"/>
      <c r="AN207" s="15"/>
    </row>
    <row r="208" spans="1:40" ht="62.25">
      <c r="A208" s="1">
        <v>1</v>
      </c>
      <c r="B208" s="17">
        <f>SUBTOTAL(103,$A$92:A208)</f>
        <v>101</v>
      </c>
      <c r="C208" s="64" t="s">
        <v>332</v>
      </c>
      <c r="D208" s="22" t="s">
        <v>379</v>
      </c>
      <c r="E208" s="20">
        <v>0.95920000000000005</v>
      </c>
      <c r="F208" s="5">
        <f>G208+H208+I208+J208+K208+L208+N208+P208+R208+T208+V208+W208+X208+Y208+Z208+AA208+AB208+AC208+AD208+AE208+AF208+AG208</f>
        <v>30755.429999999997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24">
        <v>0</v>
      </c>
      <c r="N208" s="5">
        <v>0</v>
      </c>
      <c r="O208" s="5">
        <v>703.8</v>
      </c>
      <c r="P208" s="5">
        <v>30300.92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f>ROUND(P208*1.5%,2)</f>
        <v>454.51</v>
      </c>
      <c r="AF208" s="5">
        <v>0</v>
      </c>
      <c r="AG208" s="5">
        <v>0</v>
      </c>
      <c r="AH208" s="66" t="s">
        <v>49</v>
      </c>
      <c r="AI208" s="66">
        <v>2020</v>
      </c>
      <c r="AJ208" s="66">
        <v>2020</v>
      </c>
      <c r="AK208" s="15"/>
      <c r="AL208" s="15"/>
      <c r="AM208" s="15"/>
      <c r="AN208" s="15"/>
    </row>
    <row r="209" spans="1:40" ht="62.25">
      <c r="A209" s="1">
        <v>1</v>
      </c>
      <c r="B209" s="17">
        <f>SUBTOTAL(103,$A$92:A209)</f>
        <v>102</v>
      </c>
      <c r="C209" s="64" t="s">
        <v>567</v>
      </c>
      <c r="D209" s="22" t="s">
        <v>379</v>
      </c>
      <c r="E209" s="20">
        <v>0.99670000000000003</v>
      </c>
      <c r="F209" s="5">
        <f>P209+AE209</f>
        <v>33486.47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24">
        <v>0</v>
      </c>
      <c r="N209" s="5">
        <v>0</v>
      </c>
      <c r="O209" s="5">
        <v>594</v>
      </c>
      <c r="P209" s="5">
        <v>32991.599999999999</v>
      </c>
      <c r="Q209" s="5">
        <v>0</v>
      </c>
      <c r="R209" s="5">
        <v>0</v>
      </c>
      <c r="S209" s="5">
        <v>0</v>
      </c>
      <c r="T209" s="67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f>ROUND(P209*1.5%,2)</f>
        <v>494.87</v>
      </c>
      <c r="AF209" s="5">
        <v>0</v>
      </c>
      <c r="AG209" s="5">
        <v>0</v>
      </c>
      <c r="AH209" s="66" t="s">
        <v>49</v>
      </c>
      <c r="AI209" s="66">
        <v>2021</v>
      </c>
      <c r="AJ209" s="66">
        <v>2021</v>
      </c>
      <c r="AK209" s="15"/>
      <c r="AL209" s="15"/>
      <c r="AM209" s="15"/>
      <c r="AN209" s="15"/>
    </row>
    <row r="210" spans="1:40" ht="62.25">
      <c r="B210" s="63" t="s">
        <v>119</v>
      </c>
      <c r="C210" s="64"/>
      <c r="D210" s="65" t="s">
        <v>131</v>
      </c>
      <c r="E210" s="20">
        <f>E211</f>
        <v>0.95309999999999995</v>
      </c>
      <c r="F210" s="5">
        <f>F211</f>
        <v>39585</v>
      </c>
      <c r="G210" s="5">
        <f t="shared" ref="G210:AG210" si="68">G211</f>
        <v>0</v>
      </c>
      <c r="H210" s="5">
        <f t="shared" si="68"/>
        <v>0</v>
      </c>
      <c r="I210" s="5">
        <f t="shared" si="68"/>
        <v>0</v>
      </c>
      <c r="J210" s="5">
        <f t="shared" si="68"/>
        <v>0</v>
      </c>
      <c r="K210" s="5">
        <f t="shared" si="68"/>
        <v>0</v>
      </c>
      <c r="L210" s="5">
        <f t="shared" si="68"/>
        <v>0</v>
      </c>
      <c r="M210" s="24">
        <f t="shared" si="68"/>
        <v>0</v>
      </c>
      <c r="N210" s="5">
        <f t="shared" si="68"/>
        <v>0</v>
      </c>
      <c r="O210" s="5">
        <f t="shared" si="68"/>
        <v>544</v>
      </c>
      <c r="P210" s="5">
        <f t="shared" si="68"/>
        <v>39000</v>
      </c>
      <c r="Q210" s="5">
        <f t="shared" si="68"/>
        <v>0</v>
      </c>
      <c r="R210" s="5">
        <f t="shared" si="68"/>
        <v>0</v>
      </c>
      <c r="S210" s="5">
        <f t="shared" si="68"/>
        <v>0</v>
      </c>
      <c r="T210" s="5">
        <f t="shared" si="68"/>
        <v>0</v>
      </c>
      <c r="U210" s="5">
        <f t="shared" si="68"/>
        <v>0</v>
      </c>
      <c r="V210" s="5">
        <f t="shared" si="68"/>
        <v>0</v>
      </c>
      <c r="W210" s="5">
        <f t="shared" si="68"/>
        <v>0</v>
      </c>
      <c r="X210" s="5">
        <f t="shared" si="68"/>
        <v>0</v>
      </c>
      <c r="Y210" s="5">
        <f t="shared" si="68"/>
        <v>0</v>
      </c>
      <c r="Z210" s="5">
        <f t="shared" si="68"/>
        <v>0</v>
      </c>
      <c r="AA210" s="5">
        <f t="shared" si="68"/>
        <v>0</v>
      </c>
      <c r="AB210" s="5">
        <f t="shared" si="68"/>
        <v>0</v>
      </c>
      <c r="AC210" s="5">
        <f t="shared" si="68"/>
        <v>0</v>
      </c>
      <c r="AD210" s="5">
        <f t="shared" si="68"/>
        <v>0</v>
      </c>
      <c r="AE210" s="5">
        <f t="shared" si="68"/>
        <v>585</v>
      </c>
      <c r="AF210" s="5">
        <f t="shared" si="68"/>
        <v>0</v>
      </c>
      <c r="AG210" s="5">
        <f t="shared" si="68"/>
        <v>0</v>
      </c>
      <c r="AH210" s="66" t="s">
        <v>131</v>
      </c>
      <c r="AI210" s="66" t="s">
        <v>131</v>
      </c>
      <c r="AJ210" s="66" t="s">
        <v>131</v>
      </c>
      <c r="AK210" s="15"/>
      <c r="AL210" s="15"/>
      <c r="AM210" s="15"/>
      <c r="AN210" s="15"/>
    </row>
    <row r="211" spans="1:40" ht="62.25">
      <c r="A211" s="1">
        <v>1</v>
      </c>
      <c r="B211" s="17">
        <f>SUBTOTAL(103,$A$92:A211)</f>
        <v>103</v>
      </c>
      <c r="C211" s="64" t="s">
        <v>333</v>
      </c>
      <c r="D211" s="22" t="s">
        <v>553</v>
      </c>
      <c r="E211" s="20">
        <v>0.95309999999999995</v>
      </c>
      <c r="F211" s="5">
        <f>G211+H211+I211+J211+K211+L211+N211+P211+R211+T211+V211+W211+X211+Y211+Z211+AA211+AB211+AC211+AD211+AE211+AF211+AG211</f>
        <v>39585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24">
        <v>0</v>
      </c>
      <c r="N211" s="5">
        <v>0</v>
      </c>
      <c r="O211" s="5">
        <v>544</v>
      </c>
      <c r="P211" s="5">
        <v>39000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f>ROUND(P211*1.5%,2)</f>
        <v>585</v>
      </c>
      <c r="AF211" s="5">
        <v>0</v>
      </c>
      <c r="AG211" s="5">
        <v>0</v>
      </c>
      <c r="AH211" s="66" t="s">
        <v>49</v>
      </c>
      <c r="AI211" s="6">
        <v>2021</v>
      </c>
      <c r="AJ211" s="6">
        <v>2021</v>
      </c>
      <c r="AK211" s="15"/>
      <c r="AL211" s="15"/>
      <c r="AM211" s="15"/>
      <c r="AN211" s="15"/>
    </row>
    <row r="212" spans="1:40" ht="62.25">
      <c r="B212" s="63" t="s">
        <v>102</v>
      </c>
      <c r="C212" s="64"/>
      <c r="D212" s="65" t="s">
        <v>131</v>
      </c>
      <c r="E212" s="20">
        <f>E213</f>
        <v>0.81220000000000003</v>
      </c>
      <c r="F212" s="5">
        <f>F213</f>
        <v>275468.56</v>
      </c>
      <c r="G212" s="5">
        <f t="shared" ref="G212:AG212" si="69">G213</f>
        <v>0</v>
      </c>
      <c r="H212" s="5">
        <f t="shared" si="69"/>
        <v>0</v>
      </c>
      <c r="I212" s="5">
        <f t="shared" si="69"/>
        <v>0</v>
      </c>
      <c r="J212" s="5">
        <f t="shared" si="69"/>
        <v>0</v>
      </c>
      <c r="K212" s="5">
        <f t="shared" si="69"/>
        <v>0</v>
      </c>
      <c r="L212" s="5">
        <f t="shared" si="69"/>
        <v>0</v>
      </c>
      <c r="M212" s="24">
        <f t="shared" si="69"/>
        <v>0</v>
      </c>
      <c r="N212" s="5">
        <f t="shared" si="69"/>
        <v>0</v>
      </c>
      <c r="O212" s="5">
        <f t="shared" si="69"/>
        <v>708</v>
      </c>
      <c r="P212" s="5">
        <f t="shared" si="69"/>
        <v>271397.59999999998</v>
      </c>
      <c r="Q212" s="5">
        <f t="shared" si="69"/>
        <v>0</v>
      </c>
      <c r="R212" s="5">
        <f t="shared" si="69"/>
        <v>0</v>
      </c>
      <c r="S212" s="5">
        <f t="shared" si="69"/>
        <v>0</v>
      </c>
      <c r="T212" s="5">
        <f t="shared" si="69"/>
        <v>0</v>
      </c>
      <c r="U212" s="5">
        <f t="shared" si="69"/>
        <v>0</v>
      </c>
      <c r="V212" s="5">
        <f t="shared" si="69"/>
        <v>0</v>
      </c>
      <c r="W212" s="5">
        <f t="shared" si="69"/>
        <v>0</v>
      </c>
      <c r="X212" s="5">
        <f t="shared" si="69"/>
        <v>0</v>
      </c>
      <c r="Y212" s="5">
        <f t="shared" si="69"/>
        <v>0</v>
      </c>
      <c r="Z212" s="5">
        <f t="shared" si="69"/>
        <v>0</v>
      </c>
      <c r="AA212" s="5">
        <f t="shared" si="69"/>
        <v>0</v>
      </c>
      <c r="AB212" s="5">
        <f t="shared" si="69"/>
        <v>0</v>
      </c>
      <c r="AC212" s="5">
        <f t="shared" si="69"/>
        <v>0</v>
      </c>
      <c r="AD212" s="5">
        <f t="shared" si="69"/>
        <v>0</v>
      </c>
      <c r="AE212" s="5">
        <f t="shared" si="69"/>
        <v>4070.96</v>
      </c>
      <c r="AF212" s="5">
        <f t="shared" si="69"/>
        <v>0</v>
      </c>
      <c r="AG212" s="5">
        <f t="shared" si="69"/>
        <v>0</v>
      </c>
      <c r="AH212" s="66" t="s">
        <v>131</v>
      </c>
      <c r="AI212" s="66" t="s">
        <v>131</v>
      </c>
      <c r="AJ212" s="66" t="s">
        <v>131</v>
      </c>
      <c r="AK212" s="15"/>
    </row>
    <row r="213" spans="1:40" ht="62.25">
      <c r="A213" s="1">
        <v>1</v>
      </c>
      <c r="B213" s="17">
        <f>SUBTOTAL(103,$A$92:A213)</f>
        <v>104</v>
      </c>
      <c r="C213" s="64" t="s">
        <v>334</v>
      </c>
      <c r="D213" s="22" t="s">
        <v>554</v>
      </c>
      <c r="E213" s="20">
        <v>0.81220000000000003</v>
      </c>
      <c r="F213" s="5">
        <f>G213+H213+I213+J213+K213+L213+N213+P213+R213+T213+V213+W213+X213+Y213+Z213+AA213+AB213+AC213+AD213+AE213+AF213+AG213</f>
        <v>275468.56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24">
        <v>0</v>
      </c>
      <c r="N213" s="5">
        <v>0</v>
      </c>
      <c r="O213" s="5">
        <v>708</v>
      </c>
      <c r="P213" s="5">
        <v>271397.59999999998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f>ROUND(P213*1.5%,2)</f>
        <v>4070.96</v>
      </c>
      <c r="AF213" s="5">
        <v>0</v>
      </c>
      <c r="AG213" s="5">
        <v>0</v>
      </c>
      <c r="AH213" s="66" t="s">
        <v>49</v>
      </c>
      <c r="AI213" s="6">
        <v>2021</v>
      </c>
      <c r="AJ213" s="6">
        <v>2021</v>
      </c>
      <c r="AK213" s="15"/>
    </row>
    <row r="214" spans="1:40" ht="62.25">
      <c r="B214" s="63" t="s">
        <v>124</v>
      </c>
      <c r="C214" s="64"/>
      <c r="D214" s="26" t="s">
        <v>131</v>
      </c>
      <c r="E214" s="20">
        <v>0.82630000000000003</v>
      </c>
      <c r="F214" s="5">
        <v>50753.95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24">
        <v>0</v>
      </c>
      <c r="N214" s="5">
        <v>0</v>
      </c>
      <c r="O214" s="5">
        <v>828</v>
      </c>
      <c r="P214" s="5">
        <v>50003.89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750.06</v>
      </c>
      <c r="AF214" s="5">
        <v>0</v>
      </c>
      <c r="AG214" s="5">
        <v>0</v>
      </c>
      <c r="AH214" s="66" t="s">
        <v>131</v>
      </c>
      <c r="AI214" s="66" t="s">
        <v>131</v>
      </c>
      <c r="AJ214" s="66" t="s">
        <v>131</v>
      </c>
      <c r="AK214" s="15"/>
    </row>
    <row r="215" spans="1:40" ht="62.25">
      <c r="A215" s="1">
        <v>1</v>
      </c>
      <c r="B215" s="17">
        <f>SUBTOTAL(103,$A$92:A215)</f>
        <v>105</v>
      </c>
      <c r="C215" s="64" t="s">
        <v>568</v>
      </c>
      <c r="D215" s="22" t="s">
        <v>553</v>
      </c>
      <c r="E215" s="20">
        <v>0.82630000000000003</v>
      </c>
      <c r="F215" s="5">
        <f>P215+AE215</f>
        <v>50753.95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24">
        <v>0</v>
      </c>
      <c r="N215" s="5">
        <v>0</v>
      </c>
      <c r="O215" s="5">
        <v>828</v>
      </c>
      <c r="P215" s="5">
        <v>50003.89</v>
      </c>
      <c r="Q215" s="5">
        <v>0</v>
      </c>
      <c r="R215" s="5">
        <v>0</v>
      </c>
      <c r="S215" s="5">
        <v>0</v>
      </c>
      <c r="T215" s="67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f>ROUND(P215*1.5%,2)</f>
        <v>750.06</v>
      </c>
      <c r="AF215" s="5">
        <v>0</v>
      </c>
      <c r="AG215" s="5">
        <v>0</v>
      </c>
      <c r="AH215" s="66" t="s">
        <v>49</v>
      </c>
      <c r="AI215" s="66">
        <v>2021</v>
      </c>
      <c r="AJ215" s="66">
        <v>2021</v>
      </c>
      <c r="AK215" s="15"/>
    </row>
    <row r="216" spans="1:40" ht="62.25">
      <c r="B216" s="63" t="s">
        <v>116</v>
      </c>
      <c r="C216" s="64"/>
      <c r="D216" s="65" t="s">
        <v>131</v>
      </c>
      <c r="E216" s="20">
        <f>AVERAGE(E217:E220)</f>
        <v>0.90027499999999994</v>
      </c>
      <c r="F216" s="5">
        <f>F217+F218+F220</f>
        <v>109537.78</v>
      </c>
      <c r="G216" s="5">
        <f t="shared" ref="G216:AG216" si="70">G217+G218+G220</f>
        <v>0</v>
      </c>
      <c r="H216" s="5">
        <f t="shared" si="70"/>
        <v>0</v>
      </c>
      <c r="I216" s="5">
        <f t="shared" si="70"/>
        <v>0</v>
      </c>
      <c r="J216" s="5">
        <f t="shared" si="70"/>
        <v>0</v>
      </c>
      <c r="K216" s="5">
        <f t="shared" si="70"/>
        <v>0</v>
      </c>
      <c r="L216" s="5">
        <f t="shared" si="70"/>
        <v>0</v>
      </c>
      <c r="M216" s="24">
        <f t="shared" si="70"/>
        <v>0</v>
      </c>
      <c r="N216" s="5">
        <f t="shared" si="70"/>
        <v>0</v>
      </c>
      <c r="O216" s="5">
        <f t="shared" si="70"/>
        <v>1779.9</v>
      </c>
      <c r="P216" s="5">
        <f t="shared" si="70"/>
        <v>94406.12000000001</v>
      </c>
      <c r="Q216" s="5">
        <f t="shared" si="70"/>
        <v>0</v>
      </c>
      <c r="R216" s="5">
        <f t="shared" si="70"/>
        <v>0</v>
      </c>
      <c r="S216" s="5">
        <f t="shared" si="70"/>
        <v>474</v>
      </c>
      <c r="T216" s="5">
        <f t="shared" si="70"/>
        <v>13512.88</v>
      </c>
      <c r="U216" s="5">
        <f t="shared" si="70"/>
        <v>0</v>
      </c>
      <c r="V216" s="5">
        <f t="shared" si="70"/>
        <v>0</v>
      </c>
      <c r="W216" s="5">
        <f t="shared" si="70"/>
        <v>0</v>
      </c>
      <c r="X216" s="5">
        <f t="shared" si="70"/>
        <v>0</v>
      </c>
      <c r="Y216" s="5">
        <f t="shared" si="70"/>
        <v>0</v>
      </c>
      <c r="Z216" s="5">
        <f t="shared" si="70"/>
        <v>0</v>
      </c>
      <c r="AA216" s="5">
        <f t="shared" si="70"/>
        <v>0</v>
      </c>
      <c r="AB216" s="5">
        <f t="shared" si="70"/>
        <v>0</v>
      </c>
      <c r="AC216" s="5">
        <f t="shared" si="70"/>
        <v>0</v>
      </c>
      <c r="AD216" s="5">
        <f t="shared" si="70"/>
        <v>0</v>
      </c>
      <c r="AE216" s="5">
        <f t="shared" si="70"/>
        <v>1618.78</v>
      </c>
      <c r="AF216" s="5">
        <f t="shared" si="70"/>
        <v>0</v>
      </c>
      <c r="AG216" s="5">
        <f t="shared" si="70"/>
        <v>0</v>
      </c>
      <c r="AH216" s="66" t="s">
        <v>131</v>
      </c>
      <c r="AI216" s="66" t="s">
        <v>131</v>
      </c>
      <c r="AJ216" s="66" t="s">
        <v>131</v>
      </c>
      <c r="AK216" s="15"/>
    </row>
    <row r="217" spans="1:40" ht="62.25">
      <c r="A217" s="1">
        <v>1</v>
      </c>
      <c r="B217" s="17">
        <f>SUBTOTAL(103,$A$92:A217)</f>
        <v>106</v>
      </c>
      <c r="C217" s="64" t="s">
        <v>335</v>
      </c>
      <c r="D217" s="22" t="s">
        <v>553</v>
      </c>
      <c r="E217" s="20">
        <v>0.96160000000000001</v>
      </c>
      <c r="F217" s="5">
        <f>G217+H217+I217+J217+K217+L217+N217+P217+R217+T217+V217+W217+X217+Y217+Z217+AA217+AB217+AC217+AD217+AE217+AF217+AG217</f>
        <v>82303.180000000008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24">
        <v>0</v>
      </c>
      <c r="N217" s="5">
        <v>0</v>
      </c>
      <c r="O217" s="5">
        <v>1245.4000000000001</v>
      </c>
      <c r="P217" s="5">
        <v>81086.880000000005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f>ROUND(P217*1.5%,2)</f>
        <v>1216.3</v>
      </c>
      <c r="AF217" s="5">
        <v>0</v>
      </c>
      <c r="AG217" s="5">
        <v>0</v>
      </c>
      <c r="AH217" s="66" t="s">
        <v>49</v>
      </c>
      <c r="AI217" s="6">
        <v>2021</v>
      </c>
      <c r="AJ217" s="6">
        <v>2021</v>
      </c>
      <c r="AK217" s="15"/>
    </row>
    <row r="218" spans="1:40" ht="62.25">
      <c r="A218" s="1">
        <v>1</v>
      </c>
      <c r="B218" s="17">
        <f>SUBTOTAL(103,$A$92:A218)</f>
        <v>107</v>
      </c>
      <c r="C218" s="64" t="s">
        <v>336</v>
      </c>
      <c r="D218" s="22" t="s">
        <v>554</v>
      </c>
      <c r="E218" s="20">
        <v>0.92120000000000002</v>
      </c>
      <c r="F218" s="5">
        <f>G218+H218+I218+J218+K218+L218+N218+P218+R218+T218+V218+W218+X218+Y218+Z218+AA218+AB218+AC218+AD218+AE218+AF218+AG218</f>
        <v>13519.03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24">
        <v>0</v>
      </c>
      <c r="N218" s="5">
        <v>0</v>
      </c>
      <c r="O218" s="5">
        <v>534.5</v>
      </c>
      <c r="P218" s="5">
        <v>13319.24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f>ROUND(P218*1.5%,2)</f>
        <v>199.79</v>
      </c>
      <c r="AF218" s="5">
        <v>0</v>
      </c>
      <c r="AG218" s="5">
        <v>0</v>
      </c>
      <c r="AH218" s="66" t="s">
        <v>49</v>
      </c>
      <c r="AI218" s="6">
        <v>2021</v>
      </c>
      <c r="AJ218" s="6">
        <v>2021</v>
      </c>
      <c r="AK218" s="15"/>
    </row>
    <row r="219" spans="1:40" ht="62.25">
      <c r="A219" s="1">
        <v>1</v>
      </c>
      <c r="B219" s="17">
        <f>SUBTOTAL(103,$A$92:A219)</f>
        <v>108</v>
      </c>
      <c r="C219" s="64" t="s">
        <v>337</v>
      </c>
      <c r="D219" s="65" t="s">
        <v>553</v>
      </c>
      <c r="E219" s="20">
        <v>0.85540000000000005</v>
      </c>
      <c r="F219" s="5">
        <f>G219+H219+I219+J219+K219+L219+N219+P219+R219+T219+V219+W219+X219+Y219+Z219+AA219+AB219+AC219+AD219+AE219+AF219+AG219</f>
        <v>178357.44</v>
      </c>
      <c r="G219" s="5">
        <v>0</v>
      </c>
      <c r="H219" s="5">
        <v>0</v>
      </c>
      <c r="I219" s="5">
        <v>175721.62</v>
      </c>
      <c r="J219" s="5">
        <v>0</v>
      </c>
      <c r="K219" s="5">
        <v>0</v>
      </c>
      <c r="L219" s="5">
        <v>0</v>
      </c>
      <c r="M219" s="24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f>ROUND(I219*1.5%,2)</f>
        <v>2635.82</v>
      </c>
      <c r="AF219" s="5">
        <v>0</v>
      </c>
      <c r="AG219" s="5">
        <v>0</v>
      </c>
      <c r="AH219" s="66" t="s">
        <v>49</v>
      </c>
      <c r="AI219" s="6">
        <v>2021</v>
      </c>
      <c r="AJ219" s="6">
        <v>2021</v>
      </c>
      <c r="AK219" s="15"/>
    </row>
    <row r="220" spans="1:40" ht="62.25">
      <c r="A220" s="1">
        <v>1</v>
      </c>
      <c r="B220" s="17">
        <f>SUBTOTAL(103,$A$92:A220)</f>
        <v>109</v>
      </c>
      <c r="C220" s="64" t="s">
        <v>894</v>
      </c>
      <c r="D220" s="65">
        <v>2014</v>
      </c>
      <c r="E220" s="20">
        <v>0.8629</v>
      </c>
      <c r="F220" s="5">
        <f>G220+H220+I220+J220+K220+L220+N220+P220+R220+T220+V220+W220+X220+Y220+Z220+AA220+AB220+AC220+AD220+AE220+AF220+AG220</f>
        <v>13715.57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24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474</v>
      </c>
      <c r="T220" s="5">
        <v>13512.88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f>ROUND(T220*1.5%,2)</f>
        <v>202.69</v>
      </c>
      <c r="AF220" s="5">
        <v>0</v>
      </c>
      <c r="AG220" s="5">
        <v>0</v>
      </c>
      <c r="AH220" s="66" t="s">
        <v>49</v>
      </c>
      <c r="AI220" s="6">
        <v>2021</v>
      </c>
      <c r="AJ220" s="6">
        <v>2021</v>
      </c>
      <c r="AK220" s="15"/>
    </row>
    <row r="221" spans="1:40" ht="62.25">
      <c r="B221" s="63" t="s">
        <v>237</v>
      </c>
      <c r="C221" s="64"/>
      <c r="D221" s="65" t="s">
        <v>131</v>
      </c>
      <c r="E221" s="20">
        <f>E222</f>
        <v>0.99180000000000001</v>
      </c>
      <c r="F221" s="5">
        <f>F222</f>
        <v>222759.59</v>
      </c>
      <c r="G221" s="5">
        <f t="shared" ref="G221:AG221" si="71">G222</f>
        <v>0</v>
      </c>
      <c r="H221" s="5">
        <f t="shared" si="71"/>
        <v>0</v>
      </c>
      <c r="I221" s="5">
        <f t="shared" si="71"/>
        <v>0</v>
      </c>
      <c r="J221" s="5">
        <f t="shared" si="71"/>
        <v>0</v>
      </c>
      <c r="K221" s="5">
        <f t="shared" si="71"/>
        <v>0</v>
      </c>
      <c r="L221" s="5">
        <f t="shared" si="71"/>
        <v>0</v>
      </c>
      <c r="M221" s="24">
        <f t="shared" si="71"/>
        <v>0</v>
      </c>
      <c r="N221" s="5">
        <f t="shared" si="71"/>
        <v>0</v>
      </c>
      <c r="O221" s="5">
        <f t="shared" si="71"/>
        <v>0</v>
      </c>
      <c r="P221" s="5">
        <f t="shared" si="71"/>
        <v>0</v>
      </c>
      <c r="Q221" s="5">
        <f t="shared" si="71"/>
        <v>0</v>
      </c>
      <c r="R221" s="5">
        <f t="shared" si="71"/>
        <v>0</v>
      </c>
      <c r="S221" s="5">
        <f t="shared" si="71"/>
        <v>488.11</v>
      </c>
      <c r="T221" s="5">
        <f t="shared" si="71"/>
        <v>219483.79</v>
      </c>
      <c r="U221" s="5">
        <f t="shared" si="71"/>
        <v>0</v>
      </c>
      <c r="V221" s="5">
        <f t="shared" si="71"/>
        <v>0</v>
      </c>
      <c r="W221" s="5">
        <f t="shared" si="71"/>
        <v>0</v>
      </c>
      <c r="X221" s="5">
        <f t="shared" si="71"/>
        <v>0</v>
      </c>
      <c r="Y221" s="5">
        <f t="shared" si="71"/>
        <v>0</v>
      </c>
      <c r="Z221" s="5">
        <f t="shared" si="71"/>
        <v>0</v>
      </c>
      <c r="AA221" s="5">
        <f t="shared" si="71"/>
        <v>0</v>
      </c>
      <c r="AB221" s="5">
        <f t="shared" si="71"/>
        <v>0</v>
      </c>
      <c r="AC221" s="5">
        <f t="shared" si="71"/>
        <v>0</v>
      </c>
      <c r="AD221" s="5">
        <f t="shared" si="71"/>
        <v>0</v>
      </c>
      <c r="AE221" s="5">
        <f t="shared" si="71"/>
        <v>3275.8</v>
      </c>
      <c r="AF221" s="5">
        <f t="shared" si="71"/>
        <v>0</v>
      </c>
      <c r="AG221" s="5">
        <f t="shared" si="71"/>
        <v>0</v>
      </c>
      <c r="AH221" s="66" t="s">
        <v>131</v>
      </c>
      <c r="AI221" s="66" t="s">
        <v>131</v>
      </c>
      <c r="AJ221" s="66" t="s">
        <v>131</v>
      </c>
      <c r="AK221" s="15"/>
    </row>
    <row r="222" spans="1:40" ht="62.25">
      <c r="A222" s="1">
        <v>1</v>
      </c>
      <c r="B222" s="17">
        <f>SUBTOTAL(103,$A$92:A222)</f>
        <v>110</v>
      </c>
      <c r="C222" s="64" t="s">
        <v>338</v>
      </c>
      <c r="D222" s="65" t="s">
        <v>379</v>
      </c>
      <c r="E222" s="20">
        <v>0.99180000000000001</v>
      </c>
      <c r="F222" s="5">
        <f>G222+H222+I222+J222+K222+L222+N222+P222+R222+T222+V222+W222+X222+Y222+Z222+AA222+AB222+AC222+AD222+AE222+AF222+AG222</f>
        <v>222759.59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24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488.11</v>
      </c>
      <c r="T222" s="5">
        <v>219483.79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3275.8</v>
      </c>
      <c r="AF222" s="5">
        <v>0</v>
      </c>
      <c r="AG222" s="5">
        <v>0</v>
      </c>
      <c r="AH222" s="66" t="s">
        <v>49</v>
      </c>
      <c r="AI222" s="66">
        <v>2020</v>
      </c>
      <c r="AJ222" s="66">
        <v>2020</v>
      </c>
      <c r="AK222" s="15"/>
    </row>
    <row r="223" spans="1:40" ht="62.25">
      <c r="B223" s="63" t="s">
        <v>114</v>
      </c>
      <c r="C223" s="64"/>
      <c r="D223" s="65" t="s">
        <v>131</v>
      </c>
      <c r="E223" s="20">
        <f>E224</f>
        <v>1</v>
      </c>
      <c r="F223" s="5">
        <f>F224</f>
        <v>137654.99000000002</v>
      </c>
      <c r="G223" s="5">
        <f t="shared" ref="G223:AG223" si="72">G224</f>
        <v>0</v>
      </c>
      <c r="H223" s="5">
        <f t="shared" si="72"/>
        <v>0</v>
      </c>
      <c r="I223" s="5">
        <f t="shared" si="72"/>
        <v>0</v>
      </c>
      <c r="J223" s="5">
        <f t="shared" si="72"/>
        <v>0</v>
      </c>
      <c r="K223" s="5">
        <f t="shared" si="72"/>
        <v>0</v>
      </c>
      <c r="L223" s="5">
        <f t="shared" si="72"/>
        <v>0</v>
      </c>
      <c r="M223" s="24">
        <f t="shared" si="72"/>
        <v>0</v>
      </c>
      <c r="N223" s="5">
        <f t="shared" si="72"/>
        <v>0</v>
      </c>
      <c r="O223" s="5">
        <f t="shared" si="72"/>
        <v>0</v>
      </c>
      <c r="P223" s="5">
        <f t="shared" si="72"/>
        <v>0</v>
      </c>
      <c r="Q223" s="5">
        <f t="shared" si="72"/>
        <v>0</v>
      </c>
      <c r="R223" s="5">
        <f t="shared" si="72"/>
        <v>0</v>
      </c>
      <c r="S223" s="5">
        <f t="shared" si="72"/>
        <v>370.88</v>
      </c>
      <c r="T223" s="5">
        <f t="shared" si="72"/>
        <v>135630.70000000001</v>
      </c>
      <c r="U223" s="5">
        <f t="shared" si="72"/>
        <v>0</v>
      </c>
      <c r="V223" s="5">
        <f t="shared" si="72"/>
        <v>0</v>
      </c>
      <c r="W223" s="5">
        <f t="shared" si="72"/>
        <v>0</v>
      </c>
      <c r="X223" s="5">
        <f t="shared" si="72"/>
        <v>0</v>
      </c>
      <c r="Y223" s="5">
        <f t="shared" si="72"/>
        <v>0</v>
      </c>
      <c r="Z223" s="5">
        <f t="shared" si="72"/>
        <v>0</v>
      </c>
      <c r="AA223" s="5">
        <f t="shared" si="72"/>
        <v>0</v>
      </c>
      <c r="AB223" s="5">
        <f t="shared" si="72"/>
        <v>0</v>
      </c>
      <c r="AC223" s="5">
        <f t="shared" si="72"/>
        <v>0</v>
      </c>
      <c r="AD223" s="5">
        <f t="shared" si="72"/>
        <v>0</v>
      </c>
      <c r="AE223" s="5">
        <f t="shared" si="72"/>
        <v>2024.29</v>
      </c>
      <c r="AF223" s="5">
        <f t="shared" si="72"/>
        <v>0</v>
      </c>
      <c r="AG223" s="5">
        <f t="shared" si="72"/>
        <v>0</v>
      </c>
      <c r="AH223" s="66" t="s">
        <v>131</v>
      </c>
      <c r="AI223" s="66" t="s">
        <v>131</v>
      </c>
      <c r="AJ223" s="66" t="s">
        <v>131</v>
      </c>
      <c r="AK223" s="15"/>
    </row>
    <row r="224" spans="1:40" ht="62.25">
      <c r="A224" s="1">
        <v>1</v>
      </c>
      <c r="B224" s="17">
        <f>SUBTOTAL(103,$A$92:A224)</f>
        <v>111</v>
      </c>
      <c r="C224" s="64" t="s">
        <v>339</v>
      </c>
      <c r="D224" s="65" t="s">
        <v>379</v>
      </c>
      <c r="E224" s="20">
        <v>1</v>
      </c>
      <c r="F224" s="5">
        <f>G224+H224+I224+J224+K224+L224+N224+P224+R224+T224+V224+W224+X224+Y224+Z224+AA224+AB224+AC224+AD224+AE224+AF224+AG224</f>
        <v>137654.99000000002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24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370.88</v>
      </c>
      <c r="T224" s="5">
        <v>135630.70000000001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2024.29</v>
      </c>
      <c r="AF224" s="5">
        <v>0</v>
      </c>
      <c r="AG224" s="5">
        <v>0</v>
      </c>
      <c r="AH224" s="66" t="s">
        <v>49</v>
      </c>
      <c r="AI224" s="66">
        <v>2020</v>
      </c>
      <c r="AJ224" s="66">
        <v>2020</v>
      </c>
      <c r="AK224" s="15"/>
    </row>
    <row r="225" spans="1:37" ht="62.25">
      <c r="B225" s="63" t="s">
        <v>107</v>
      </c>
      <c r="C225" s="64"/>
      <c r="D225" s="65" t="s">
        <v>131</v>
      </c>
      <c r="E225" s="20">
        <f>E226</f>
        <v>0.98829999999999996</v>
      </c>
      <c r="F225" s="5">
        <f>F226</f>
        <v>894902.36</v>
      </c>
      <c r="G225" s="5">
        <f t="shared" ref="G225:AG225" si="73">G226</f>
        <v>0</v>
      </c>
      <c r="H225" s="5">
        <f t="shared" si="73"/>
        <v>0</v>
      </c>
      <c r="I225" s="5">
        <f t="shared" si="73"/>
        <v>0</v>
      </c>
      <c r="J225" s="5">
        <f t="shared" si="73"/>
        <v>0</v>
      </c>
      <c r="K225" s="5">
        <f t="shared" si="73"/>
        <v>0</v>
      </c>
      <c r="L225" s="5">
        <f t="shared" si="73"/>
        <v>0</v>
      </c>
      <c r="M225" s="24">
        <f t="shared" si="73"/>
        <v>0</v>
      </c>
      <c r="N225" s="5">
        <f t="shared" si="73"/>
        <v>0</v>
      </c>
      <c r="O225" s="5">
        <f t="shared" si="73"/>
        <v>400</v>
      </c>
      <c r="P225" s="5">
        <f t="shared" si="73"/>
        <v>881677.2</v>
      </c>
      <c r="Q225" s="5">
        <f t="shared" si="73"/>
        <v>0</v>
      </c>
      <c r="R225" s="5">
        <f t="shared" si="73"/>
        <v>0</v>
      </c>
      <c r="S225" s="5">
        <f t="shared" si="73"/>
        <v>0</v>
      </c>
      <c r="T225" s="5">
        <f t="shared" si="73"/>
        <v>0</v>
      </c>
      <c r="U225" s="5">
        <f t="shared" si="73"/>
        <v>0</v>
      </c>
      <c r="V225" s="5">
        <f t="shared" si="73"/>
        <v>0</v>
      </c>
      <c r="W225" s="5">
        <f t="shared" si="73"/>
        <v>0</v>
      </c>
      <c r="X225" s="5">
        <f t="shared" si="73"/>
        <v>0</v>
      </c>
      <c r="Y225" s="5">
        <f t="shared" si="73"/>
        <v>0</v>
      </c>
      <c r="Z225" s="5">
        <f t="shared" si="73"/>
        <v>0</v>
      </c>
      <c r="AA225" s="5">
        <f t="shared" si="73"/>
        <v>0</v>
      </c>
      <c r="AB225" s="5">
        <f t="shared" si="73"/>
        <v>0</v>
      </c>
      <c r="AC225" s="5">
        <f t="shared" si="73"/>
        <v>0</v>
      </c>
      <c r="AD225" s="5">
        <f t="shared" si="73"/>
        <v>0</v>
      </c>
      <c r="AE225" s="5">
        <f t="shared" si="73"/>
        <v>13225.16</v>
      </c>
      <c r="AF225" s="5">
        <f t="shared" si="73"/>
        <v>0</v>
      </c>
      <c r="AG225" s="5">
        <f t="shared" si="73"/>
        <v>0</v>
      </c>
      <c r="AH225" s="66" t="s">
        <v>131</v>
      </c>
      <c r="AI225" s="66" t="s">
        <v>131</v>
      </c>
      <c r="AJ225" s="66" t="s">
        <v>131</v>
      </c>
      <c r="AK225" s="15"/>
    </row>
    <row r="226" spans="1:37" ht="62.25">
      <c r="A226" s="1">
        <v>1</v>
      </c>
      <c r="B226" s="17">
        <f>SUBTOTAL(103,$A$92:A226)</f>
        <v>112</v>
      </c>
      <c r="C226" s="64" t="s">
        <v>340</v>
      </c>
      <c r="D226" s="22" t="s">
        <v>554</v>
      </c>
      <c r="E226" s="20">
        <v>0.98829999999999996</v>
      </c>
      <c r="F226" s="5">
        <f>G226+H226+I226+J226+K226+L226+N226+P226+R226+T226+V226+W226+X226+Y226+Z226+AA226+AB226+AC226+AD226+AE226+AF226+AG226</f>
        <v>894902.36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24">
        <v>0</v>
      </c>
      <c r="N226" s="5">
        <v>0</v>
      </c>
      <c r="O226" s="5">
        <v>400</v>
      </c>
      <c r="P226" s="5">
        <v>881677.2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f>ROUND(P226*1.5%,2)</f>
        <v>13225.16</v>
      </c>
      <c r="AF226" s="5">
        <v>0</v>
      </c>
      <c r="AG226" s="5">
        <v>0</v>
      </c>
      <c r="AH226" s="66" t="s">
        <v>49</v>
      </c>
      <c r="AI226" s="6">
        <v>2021</v>
      </c>
      <c r="AJ226" s="6">
        <v>2021</v>
      </c>
      <c r="AK226" s="15"/>
    </row>
    <row r="227" spans="1:37" ht="62.25">
      <c r="B227" s="63" t="s">
        <v>111</v>
      </c>
      <c r="C227" s="64"/>
      <c r="D227" s="65" t="s">
        <v>131</v>
      </c>
      <c r="E227" s="20">
        <f>E228</f>
        <v>0.72670000000000001</v>
      </c>
      <c r="F227" s="5">
        <f>F228</f>
        <v>40586.949999999997</v>
      </c>
      <c r="G227" s="5">
        <f t="shared" ref="G227:AG227" si="74">G228</f>
        <v>0</v>
      </c>
      <c r="H227" s="5">
        <f t="shared" si="74"/>
        <v>0</v>
      </c>
      <c r="I227" s="5">
        <f t="shared" si="74"/>
        <v>0</v>
      </c>
      <c r="J227" s="5">
        <f t="shared" si="74"/>
        <v>0</v>
      </c>
      <c r="K227" s="5">
        <f t="shared" si="74"/>
        <v>0</v>
      </c>
      <c r="L227" s="5">
        <f t="shared" si="74"/>
        <v>0</v>
      </c>
      <c r="M227" s="24">
        <f t="shared" si="74"/>
        <v>0</v>
      </c>
      <c r="N227" s="5">
        <f t="shared" si="74"/>
        <v>0</v>
      </c>
      <c r="O227" s="5">
        <f t="shared" si="74"/>
        <v>651</v>
      </c>
      <c r="P227" s="5">
        <f t="shared" si="74"/>
        <v>39987.14</v>
      </c>
      <c r="Q227" s="5">
        <f t="shared" si="74"/>
        <v>0</v>
      </c>
      <c r="R227" s="5">
        <f t="shared" si="74"/>
        <v>0</v>
      </c>
      <c r="S227" s="5">
        <f t="shared" si="74"/>
        <v>0</v>
      </c>
      <c r="T227" s="5">
        <f t="shared" si="74"/>
        <v>0</v>
      </c>
      <c r="U227" s="5">
        <f t="shared" si="74"/>
        <v>0</v>
      </c>
      <c r="V227" s="5">
        <f t="shared" si="74"/>
        <v>0</v>
      </c>
      <c r="W227" s="5">
        <f t="shared" si="74"/>
        <v>0</v>
      </c>
      <c r="X227" s="5">
        <f t="shared" si="74"/>
        <v>0</v>
      </c>
      <c r="Y227" s="5">
        <f t="shared" si="74"/>
        <v>0</v>
      </c>
      <c r="Z227" s="5">
        <f t="shared" si="74"/>
        <v>0</v>
      </c>
      <c r="AA227" s="5">
        <f t="shared" si="74"/>
        <v>0</v>
      </c>
      <c r="AB227" s="5">
        <f t="shared" si="74"/>
        <v>0</v>
      </c>
      <c r="AC227" s="5">
        <f t="shared" si="74"/>
        <v>0</v>
      </c>
      <c r="AD227" s="5">
        <f t="shared" si="74"/>
        <v>0</v>
      </c>
      <c r="AE227" s="5">
        <f t="shared" si="74"/>
        <v>599.80999999999995</v>
      </c>
      <c r="AF227" s="5">
        <f t="shared" si="74"/>
        <v>0</v>
      </c>
      <c r="AG227" s="5">
        <f t="shared" si="74"/>
        <v>0</v>
      </c>
      <c r="AH227" s="66" t="s">
        <v>131</v>
      </c>
      <c r="AI227" s="66" t="s">
        <v>131</v>
      </c>
      <c r="AJ227" s="66" t="s">
        <v>131</v>
      </c>
      <c r="AK227" s="15"/>
    </row>
    <row r="228" spans="1:37" ht="62.25">
      <c r="A228" s="1">
        <v>1</v>
      </c>
      <c r="B228" s="17">
        <f>SUBTOTAL(103,$A$92:A228)</f>
        <v>113</v>
      </c>
      <c r="C228" s="64" t="s">
        <v>341</v>
      </c>
      <c r="D228" s="22" t="s">
        <v>379</v>
      </c>
      <c r="E228" s="20">
        <v>0.72670000000000001</v>
      </c>
      <c r="F228" s="5">
        <f>G228+H228+I228+J228+K228+L228+N228+P228+R228+T228+V228+W228+X228+Y228+Z228+AA228+AB228+AC228+AD228+AE228+AF228+AG228</f>
        <v>40586.949999999997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24">
        <v>0</v>
      </c>
      <c r="N228" s="5">
        <v>0</v>
      </c>
      <c r="O228" s="5">
        <v>651</v>
      </c>
      <c r="P228" s="5">
        <v>39987.14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f>ROUND(P228*1.5%,2)</f>
        <v>599.80999999999995</v>
      </c>
      <c r="AF228" s="5">
        <v>0</v>
      </c>
      <c r="AG228" s="5">
        <v>0</v>
      </c>
      <c r="AH228" s="66" t="s">
        <v>49</v>
      </c>
      <c r="AI228" s="6">
        <v>2021</v>
      </c>
      <c r="AJ228" s="6">
        <v>2021</v>
      </c>
      <c r="AK228" s="15"/>
    </row>
    <row r="229" spans="1:37" ht="62.25">
      <c r="B229" s="63" t="s">
        <v>118</v>
      </c>
      <c r="C229" s="64"/>
      <c r="D229" s="65" t="s">
        <v>131</v>
      </c>
      <c r="E229" s="20">
        <f>E230</f>
        <v>0.98380000000000001</v>
      </c>
      <c r="F229" s="5">
        <f>F230</f>
        <v>39622.869999999995</v>
      </c>
      <c r="G229" s="5">
        <f t="shared" ref="G229:AG229" si="75">G230</f>
        <v>0</v>
      </c>
      <c r="H229" s="5">
        <f t="shared" si="75"/>
        <v>0</v>
      </c>
      <c r="I229" s="5">
        <f t="shared" si="75"/>
        <v>0</v>
      </c>
      <c r="J229" s="5">
        <f t="shared" si="75"/>
        <v>0</v>
      </c>
      <c r="K229" s="5">
        <f t="shared" si="75"/>
        <v>0</v>
      </c>
      <c r="L229" s="5">
        <f t="shared" si="75"/>
        <v>0</v>
      </c>
      <c r="M229" s="24">
        <f t="shared" si="75"/>
        <v>0</v>
      </c>
      <c r="N229" s="5">
        <f t="shared" si="75"/>
        <v>0</v>
      </c>
      <c r="O229" s="5">
        <f t="shared" si="75"/>
        <v>762</v>
      </c>
      <c r="P229" s="5">
        <f t="shared" si="75"/>
        <v>39037.31</v>
      </c>
      <c r="Q229" s="5">
        <f t="shared" si="75"/>
        <v>0</v>
      </c>
      <c r="R229" s="5">
        <f t="shared" si="75"/>
        <v>0</v>
      </c>
      <c r="S229" s="5">
        <f t="shared" si="75"/>
        <v>0</v>
      </c>
      <c r="T229" s="5">
        <f t="shared" si="75"/>
        <v>0</v>
      </c>
      <c r="U229" s="5">
        <f t="shared" si="75"/>
        <v>0</v>
      </c>
      <c r="V229" s="5">
        <f t="shared" si="75"/>
        <v>0</v>
      </c>
      <c r="W229" s="5">
        <f t="shared" si="75"/>
        <v>0</v>
      </c>
      <c r="X229" s="5">
        <f t="shared" si="75"/>
        <v>0</v>
      </c>
      <c r="Y229" s="5">
        <f t="shared" si="75"/>
        <v>0</v>
      </c>
      <c r="Z229" s="5">
        <f t="shared" si="75"/>
        <v>0</v>
      </c>
      <c r="AA229" s="5">
        <f t="shared" si="75"/>
        <v>0</v>
      </c>
      <c r="AB229" s="5">
        <f t="shared" si="75"/>
        <v>0</v>
      </c>
      <c r="AC229" s="5">
        <f t="shared" si="75"/>
        <v>0</v>
      </c>
      <c r="AD229" s="5">
        <f t="shared" si="75"/>
        <v>0</v>
      </c>
      <c r="AE229" s="5">
        <f t="shared" si="75"/>
        <v>585.55999999999995</v>
      </c>
      <c r="AF229" s="5">
        <f t="shared" si="75"/>
        <v>0</v>
      </c>
      <c r="AG229" s="5">
        <f t="shared" si="75"/>
        <v>0</v>
      </c>
      <c r="AH229" s="66" t="s">
        <v>131</v>
      </c>
      <c r="AI229" s="66" t="s">
        <v>131</v>
      </c>
      <c r="AJ229" s="66" t="s">
        <v>131</v>
      </c>
      <c r="AK229" s="15"/>
    </row>
    <row r="230" spans="1:37" ht="62.25">
      <c r="A230" s="1">
        <v>1</v>
      </c>
      <c r="B230" s="17">
        <f>SUBTOTAL(103,$A$92:A230)</f>
        <v>114</v>
      </c>
      <c r="C230" s="64" t="s">
        <v>342</v>
      </c>
      <c r="D230" s="22" t="s">
        <v>554</v>
      </c>
      <c r="E230" s="20">
        <v>0.98380000000000001</v>
      </c>
      <c r="F230" s="5">
        <f>G230+H230+I230+J230+K230+L230+N230+P230+R230+T230+V230+W230+X230+Y230+Z230+AA230+AB230+AC230+AD230+AE230+AF230+AG230</f>
        <v>39622.869999999995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24">
        <v>0</v>
      </c>
      <c r="N230" s="5">
        <v>0</v>
      </c>
      <c r="O230" s="5">
        <v>762</v>
      </c>
      <c r="P230" s="5">
        <v>39037.31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f>ROUND(P230*1.5%,2)</f>
        <v>585.55999999999995</v>
      </c>
      <c r="AF230" s="5">
        <v>0</v>
      </c>
      <c r="AG230" s="5">
        <v>0</v>
      </c>
      <c r="AH230" s="66" t="s">
        <v>49</v>
      </c>
      <c r="AI230" s="66">
        <v>2020</v>
      </c>
      <c r="AJ230" s="66">
        <v>2020</v>
      </c>
      <c r="AK230" s="15"/>
    </row>
    <row r="231" spans="1:37" ht="62.25">
      <c r="B231" s="63" t="s">
        <v>106</v>
      </c>
      <c r="C231" s="64"/>
      <c r="D231" s="65" t="s">
        <v>131</v>
      </c>
      <c r="E231" s="20">
        <f>E232</f>
        <v>0.98480000000000001</v>
      </c>
      <c r="F231" s="5">
        <f>F232</f>
        <v>1045972.2</v>
      </c>
      <c r="G231" s="5">
        <f t="shared" ref="G231:AG231" si="76">G232</f>
        <v>0</v>
      </c>
      <c r="H231" s="5">
        <f t="shared" si="76"/>
        <v>0</v>
      </c>
      <c r="I231" s="5">
        <f t="shared" si="76"/>
        <v>0</v>
      </c>
      <c r="J231" s="5">
        <f t="shared" si="76"/>
        <v>0</v>
      </c>
      <c r="K231" s="5">
        <f t="shared" si="76"/>
        <v>0</v>
      </c>
      <c r="L231" s="5">
        <f t="shared" si="76"/>
        <v>0</v>
      </c>
      <c r="M231" s="24">
        <f t="shared" si="76"/>
        <v>0</v>
      </c>
      <c r="N231" s="5">
        <f t="shared" si="76"/>
        <v>0</v>
      </c>
      <c r="O231" s="5">
        <f t="shared" si="76"/>
        <v>1187</v>
      </c>
      <c r="P231" s="5">
        <f t="shared" si="76"/>
        <v>1030514.48</v>
      </c>
      <c r="Q231" s="5">
        <f t="shared" si="76"/>
        <v>0</v>
      </c>
      <c r="R231" s="5">
        <f t="shared" si="76"/>
        <v>0</v>
      </c>
      <c r="S231" s="5">
        <f t="shared" si="76"/>
        <v>0</v>
      </c>
      <c r="T231" s="5">
        <f t="shared" si="76"/>
        <v>0</v>
      </c>
      <c r="U231" s="5">
        <f t="shared" si="76"/>
        <v>0</v>
      </c>
      <c r="V231" s="5">
        <f t="shared" si="76"/>
        <v>0</v>
      </c>
      <c r="W231" s="5">
        <f t="shared" si="76"/>
        <v>0</v>
      </c>
      <c r="X231" s="5">
        <f t="shared" si="76"/>
        <v>0</v>
      </c>
      <c r="Y231" s="5">
        <f t="shared" si="76"/>
        <v>0</v>
      </c>
      <c r="Z231" s="5">
        <f t="shared" si="76"/>
        <v>0</v>
      </c>
      <c r="AA231" s="5">
        <f t="shared" si="76"/>
        <v>0</v>
      </c>
      <c r="AB231" s="5">
        <f t="shared" si="76"/>
        <v>0</v>
      </c>
      <c r="AC231" s="5">
        <f t="shared" si="76"/>
        <v>0</v>
      </c>
      <c r="AD231" s="5">
        <f t="shared" si="76"/>
        <v>0</v>
      </c>
      <c r="AE231" s="5">
        <f t="shared" si="76"/>
        <v>15457.72</v>
      </c>
      <c r="AF231" s="5">
        <f t="shared" si="76"/>
        <v>0</v>
      </c>
      <c r="AG231" s="5">
        <f t="shared" si="76"/>
        <v>0</v>
      </c>
      <c r="AH231" s="66" t="s">
        <v>131</v>
      </c>
      <c r="AI231" s="66" t="s">
        <v>131</v>
      </c>
      <c r="AJ231" s="66" t="s">
        <v>131</v>
      </c>
      <c r="AK231" s="15"/>
    </row>
    <row r="232" spans="1:37" ht="62.25">
      <c r="A232" s="1">
        <v>1</v>
      </c>
      <c r="B232" s="17">
        <f>SUBTOTAL(103,$A$92:A232)</f>
        <v>115</v>
      </c>
      <c r="C232" s="64" t="s">
        <v>892</v>
      </c>
      <c r="D232" s="22">
        <v>2014</v>
      </c>
      <c r="E232" s="20">
        <v>0.98480000000000001</v>
      </c>
      <c r="F232" s="5">
        <f>G232+H232+I232+J232+K232+L232+N232+P232+R232+T232+V232+W232+X232+Y232+Z232+AA232+AB232+AC232+AD232+AE232+AF232+AG232</f>
        <v>1045972.2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24">
        <v>0</v>
      </c>
      <c r="N232" s="5">
        <v>0</v>
      </c>
      <c r="O232" s="5">
        <v>1187</v>
      </c>
      <c r="P232" s="5">
        <v>1030514.48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f>ROUND(P232*1.5%,2)</f>
        <v>15457.72</v>
      </c>
      <c r="AF232" s="5">
        <v>0</v>
      </c>
      <c r="AG232" s="5">
        <v>0</v>
      </c>
      <c r="AH232" s="66" t="s">
        <v>49</v>
      </c>
      <c r="AI232" s="6">
        <v>2021</v>
      </c>
      <c r="AJ232" s="6">
        <v>2021</v>
      </c>
      <c r="AK232" s="15"/>
    </row>
    <row r="233" spans="1:37" ht="62.25">
      <c r="B233" s="63" t="s">
        <v>109</v>
      </c>
      <c r="C233" s="64"/>
      <c r="D233" s="65" t="s">
        <v>131</v>
      </c>
      <c r="E233" s="20">
        <f>AVERAGE(E234:E235)</f>
        <v>0.83830000000000005</v>
      </c>
      <c r="F233" s="5">
        <f>F234+F235</f>
        <v>155656.99</v>
      </c>
      <c r="G233" s="5">
        <f t="shared" ref="G233:AG233" si="77">G234+G235</f>
        <v>0</v>
      </c>
      <c r="H233" s="5">
        <f t="shared" si="77"/>
        <v>0</v>
      </c>
      <c r="I233" s="5">
        <f t="shared" si="77"/>
        <v>0</v>
      </c>
      <c r="J233" s="5">
        <f t="shared" si="77"/>
        <v>0</v>
      </c>
      <c r="K233" s="5">
        <f t="shared" si="77"/>
        <v>0</v>
      </c>
      <c r="L233" s="5">
        <f t="shared" si="77"/>
        <v>0</v>
      </c>
      <c r="M233" s="24">
        <f t="shared" si="77"/>
        <v>0</v>
      </c>
      <c r="N233" s="5">
        <f t="shared" si="77"/>
        <v>0</v>
      </c>
      <c r="O233" s="5">
        <f t="shared" si="77"/>
        <v>949</v>
      </c>
      <c r="P233" s="5">
        <f t="shared" si="77"/>
        <v>154049.04999999999</v>
      </c>
      <c r="Q233" s="5">
        <f t="shared" si="77"/>
        <v>0</v>
      </c>
      <c r="R233" s="5">
        <f t="shared" si="77"/>
        <v>0</v>
      </c>
      <c r="S233" s="5">
        <f t="shared" si="77"/>
        <v>0</v>
      </c>
      <c r="T233" s="5">
        <f t="shared" si="77"/>
        <v>0</v>
      </c>
      <c r="U233" s="5">
        <f t="shared" si="77"/>
        <v>0</v>
      </c>
      <c r="V233" s="5">
        <f t="shared" si="77"/>
        <v>0</v>
      </c>
      <c r="W233" s="5">
        <f t="shared" si="77"/>
        <v>0</v>
      </c>
      <c r="X233" s="5">
        <f t="shared" si="77"/>
        <v>0</v>
      </c>
      <c r="Y233" s="5">
        <f t="shared" si="77"/>
        <v>0</v>
      </c>
      <c r="Z233" s="5">
        <f t="shared" si="77"/>
        <v>0</v>
      </c>
      <c r="AA233" s="5">
        <f t="shared" si="77"/>
        <v>0</v>
      </c>
      <c r="AB233" s="5">
        <f t="shared" si="77"/>
        <v>0</v>
      </c>
      <c r="AC233" s="5">
        <f t="shared" si="77"/>
        <v>0</v>
      </c>
      <c r="AD233" s="5">
        <f t="shared" si="77"/>
        <v>0</v>
      </c>
      <c r="AE233" s="5">
        <f t="shared" si="77"/>
        <v>1607.94</v>
      </c>
      <c r="AF233" s="5">
        <f t="shared" si="77"/>
        <v>0</v>
      </c>
      <c r="AG233" s="5">
        <f t="shared" si="77"/>
        <v>0</v>
      </c>
      <c r="AH233" s="66" t="s">
        <v>131</v>
      </c>
      <c r="AI233" s="66" t="s">
        <v>131</v>
      </c>
      <c r="AJ233" s="66" t="s">
        <v>131</v>
      </c>
      <c r="AK233" s="15"/>
    </row>
    <row r="234" spans="1:37" ht="62.25">
      <c r="A234" s="1">
        <v>1</v>
      </c>
      <c r="B234" s="17">
        <f>SUBTOTAL(103,$A$92:A234)</f>
        <v>116</v>
      </c>
      <c r="C234" s="64" t="s">
        <v>350</v>
      </c>
      <c r="D234" s="22" t="s">
        <v>553</v>
      </c>
      <c r="E234" s="20">
        <v>0.75480000000000003</v>
      </c>
      <c r="F234" s="5">
        <f>G234+H234+I234+J234+K234+L234+N234+P234+R234+T234+V234+W234+X234+Y234+Z234+AA234+AB234+AC234+AD234+AE234+AF234+AG234</f>
        <v>78556.570000000007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24">
        <v>0</v>
      </c>
      <c r="N234" s="5">
        <v>0</v>
      </c>
      <c r="O234" s="5">
        <v>577</v>
      </c>
      <c r="P234" s="5">
        <v>78088.05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468.52</v>
      </c>
      <c r="AF234" s="5">
        <v>0</v>
      </c>
      <c r="AG234" s="5">
        <v>0</v>
      </c>
      <c r="AH234" s="66" t="s">
        <v>49</v>
      </c>
      <c r="AI234" s="66">
        <v>2020</v>
      </c>
      <c r="AJ234" s="66">
        <v>2020</v>
      </c>
      <c r="AK234" s="15"/>
    </row>
    <row r="235" spans="1:37" ht="62.25">
      <c r="A235" s="1">
        <v>1</v>
      </c>
      <c r="B235" s="17">
        <f>SUBTOTAL(103,$A$92:A235)</f>
        <v>117</v>
      </c>
      <c r="C235" s="64" t="s">
        <v>351</v>
      </c>
      <c r="D235" s="22" t="s">
        <v>554</v>
      </c>
      <c r="E235" s="20">
        <v>0.92179999999999995</v>
      </c>
      <c r="F235" s="5">
        <f>G235+H235+I235+J235+K235+L235+N235+P235+R235+T235+V235+W235+X235+Y235+Z235+AA235+AB235+AC235+AD235+AE235+AF235+AG235</f>
        <v>77100.42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24">
        <v>0</v>
      </c>
      <c r="N235" s="5">
        <v>0</v>
      </c>
      <c r="O235" s="5">
        <v>372</v>
      </c>
      <c r="P235" s="5">
        <v>75961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f>ROUND(P235*1.5%,2)</f>
        <v>1139.42</v>
      </c>
      <c r="AF235" s="5">
        <v>0</v>
      </c>
      <c r="AG235" s="5">
        <v>0</v>
      </c>
      <c r="AH235" s="66" t="s">
        <v>49</v>
      </c>
      <c r="AI235" s="66">
        <v>2020</v>
      </c>
      <c r="AJ235" s="66">
        <v>2020</v>
      </c>
      <c r="AK235" s="15"/>
    </row>
    <row r="236" spans="1:37" ht="62.25">
      <c r="B236" s="63" t="s">
        <v>210</v>
      </c>
      <c r="C236" s="64"/>
      <c r="D236" s="65" t="s">
        <v>131</v>
      </c>
      <c r="E236" s="20">
        <f t="shared" ref="E236:T242" si="78">E237</f>
        <v>0.93410000000000004</v>
      </c>
      <c r="F236" s="5">
        <f t="shared" si="78"/>
        <v>5309.7</v>
      </c>
      <c r="G236" s="5">
        <f t="shared" si="78"/>
        <v>0</v>
      </c>
      <c r="H236" s="5">
        <f t="shared" si="78"/>
        <v>0</v>
      </c>
      <c r="I236" s="5">
        <f t="shared" si="78"/>
        <v>0</v>
      </c>
      <c r="J236" s="5">
        <f t="shared" si="78"/>
        <v>0</v>
      </c>
      <c r="K236" s="5">
        <f t="shared" si="78"/>
        <v>0</v>
      </c>
      <c r="L236" s="5">
        <f t="shared" si="78"/>
        <v>0</v>
      </c>
      <c r="M236" s="24">
        <f t="shared" si="78"/>
        <v>0</v>
      </c>
      <c r="N236" s="5">
        <f t="shared" si="78"/>
        <v>0</v>
      </c>
      <c r="O236" s="5">
        <f t="shared" si="78"/>
        <v>429.6</v>
      </c>
      <c r="P236" s="5">
        <f t="shared" si="78"/>
        <v>5231.2299999999996</v>
      </c>
      <c r="Q236" s="5">
        <f t="shared" si="78"/>
        <v>0</v>
      </c>
      <c r="R236" s="5">
        <f t="shared" si="78"/>
        <v>0</v>
      </c>
      <c r="S236" s="5">
        <f t="shared" si="78"/>
        <v>0</v>
      </c>
      <c r="T236" s="5">
        <f t="shared" si="78"/>
        <v>0</v>
      </c>
      <c r="U236" s="5">
        <f t="shared" ref="U236:AG236" si="79">U237</f>
        <v>0</v>
      </c>
      <c r="V236" s="5">
        <f t="shared" si="79"/>
        <v>0</v>
      </c>
      <c r="W236" s="5">
        <f t="shared" si="79"/>
        <v>0</v>
      </c>
      <c r="X236" s="5">
        <f t="shared" si="79"/>
        <v>0</v>
      </c>
      <c r="Y236" s="5">
        <f t="shared" si="79"/>
        <v>0</v>
      </c>
      <c r="Z236" s="5">
        <f t="shared" si="79"/>
        <v>0</v>
      </c>
      <c r="AA236" s="5">
        <f t="shared" si="79"/>
        <v>0</v>
      </c>
      <c r="AB236" s="5">
        <f t="shared" si="79"/>
        <v>0</v>
      </c>
      <c r="AC236" s="5">
        <f t="shared" si="79"/>
        <v>0</v>
      </c>
      <c r="AD236" s="5">
        <f t="shared" si="79"/>
        <v>0</v>
      </c>
      <c r="AE236" s="5">
        <f t="shared" si="79"/>
        <v>78.47</v>
      </c>
      <c r="AF236" s="5">
        <f t="shared" si="79"/>
        <v>0</v>
      </c>
      <c r="AG236" s="5">
        <f t="shared" si="79"/>
        <v>0</v>
      </c>
      <c r="AH236" s="66" t="s">
        <v>131</v>
      </c>
      <c r="AI236" s="66" t="s">
        <v>131</v>
      </c>
      <c r="AJ236" s="66" t="s">
        <v>131</v>
      </c>
      <c r="AK236" s="15"/>
    </row>
    <row r="237" spans="1:37" ht="62.25">
      <c r="A237" s="1">
        <v>1</v>
      </c>
      <c r="B237" s="17">
        <f>SUBTOTAL(103,$A$92:A237)</f>
        <v>118</v>
      </c>
      <c r="C237" s="64" t="s">
        <v>385</v>
      </c>
      <c r="D237" s="22" t="s">
        <v>553</v>
      </c>
      <c r="E237" s="20">
        <v>0.93410000000000004</v>
      </c>
      <c r="F237" s="5">
        <f>G237+H237+I237+J237+K237+L237+N237+P237+R237+T237+V237+W237+X237+Y237+Z237+AA237+AB237+AC237+AD237+AE237+AF237+AG237</f>
        <v>5309.7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24">
        <v>0</v>
      </c>
      <c r="N237" s="5">
        <v>0</v>
      </c>
      <c r="O237" s="5">
        <v>429.6</v>
      </c>
      <c r="P237" s="5">
        <v>5231.2299999999996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f>ROUND(P237*1.5%,2)</f>
        <v>78.47</v>
      </c>
      <c r="AF237" s="5">
        <v>0</v>
      </c>
      <c r="AG237" s="5">
        <v>0</v>
      </c>
      <c r="AH237" s="66" t="s">
        <v>49</v>
      </c>
      <c r="AI237" s="66">
        <v>2020</v>
      </c>
      <c r="AJ237" s="66">
        <v>2020</v>
      </c>
      <c r="AK237" s="15"/>
    </row>
    <row r="238" spans="1:37" ht="62.25">
      <c r="B238" s="63" t="s">
        <v>127</v>
      </c>
      <c r="C238" s="64"/>
      <c r="D238" s="65" t="s">
        <v>131</v>
      </c>
      <c r="E238" s="20">
        <v>0.99509999999999998</v>
      </c>
      <c r="F238" s="5">
        <f t="shared" si="78"/>
        <v>188216.53</v>
      </c>
      <c r="G238" s="5">
        <f t="shared" si="78"/>
        <v>0</v>
      </c>
      <c r="H238" s="5">
        <f t="shared" si="78"/>
        <v>0</v>
      </c>
      <c r="I238" s="5">
        <f t="shared" si="78"/>
        <v>0</v>
      </c>
      <c r="J238" s="5">
        <f t="shared" si="78"/>
        <v>0</v>
      </c>
      <c r="K238" s="5">
        <f t="shared" si="78"/>
        <v>0</v>
      </c>
      <c r="L238" s="5">
        <f t="shared" si="78"/>
        <v>0</v>
      </c>
      <c r="M238" s="24">
        <f t="shared" si="78"/>
        <v>0</v>
      </c>
      <c r="N238" s="5">
        <f t="shared" si="78"/>
        <v>0</v>
      </c>
      <c r="O238" s="5">
        <f t="shared" si="78"/>
        <v>186.15</v>
      </c>
      <c r="P238" s="5">
        <f t="shared" si="78"/>
        <v>185435</v>
      </c>
      <c r="Q238" s="5">
        <f t="shared" si="78"/>
        <v>0</v>
      </c>
      <c r="R238" s="5">
        <f t="shared" si="78"/>
        <v>0</v>
      </c>
      <c r="S238" s="5">
        <f t="shared" si="78"/>
        <v>0</v>
      </c>
      <c r="T238" s="5">
        <f t="shared" si="78"/>
        <v>0</v>
      </c>
      <c r="U238" s="5">
        <f t="shared" ref="U238:AG238" si="80">U239</f>
        <v>0</v>
      </c>
      <c r="V238" s="5">
        <f t="shared" si="80"/>
        <v>0</v>
      </c>
      <c r="W238" s="5">
        <f t="shared" si="80"/>
        <v>0</v>
      </c>
      <c r="X238" s="5">
        <f t="shared" si="80"/>
        <v>0</v>
      </c>
      <c r="Y238" s="5">
        <f t="shared" si="80"/>
        <v>0</v>
      </c>
      <c r="Z238" s="5">
        <f t="shared" si="80"/>
        <v>0</v>
      </c>
      <c r="AA238" s="5">
        <f t="shared" si="80"/>
        <v>0</v>
      </c>
      <c r="AB238" s="5">
        <f t="shared" si="80"/>
        <v>0</v>
      </c>
      <c r="AC238" s="5">
        <f t="shared" si="80"/>
        <v>0</v>
      </c>
      <c r="AD238" s="5">
        <f t="shared" si="80"/>
        <v>0</v>
      </c>
      <c r="AE238" s="5">
        <f t="shared" si="80"/>
        <v>2781.53</v>
      </c>
      <c r="AF238" s="5">
        <f t="shared" si="80"/>
        <v>0</v>
      </c>
      <c r="AG238" s="5">
        <f t="shared" si="80"/>
        <v>0</v>
      </c>
      <c r="AH238" s="66" t="s">
        <v>131</v>
      </c>
      <c r="AI238" s="66" t="s">
        <v>131</v>
      </c>
      <c r="AJ238" s="66" t="s">
        <v>131</v>
      </c>
      <c r="AK238" s="15"/>
    </row>
    <row r="239" spans="1:37" ht="62.25">
      <c r="A239" s="1">
        <v>1</v>
      </c>
      <c r="B239" s="17">
        <f>SUBTOTAL(103,$A$92:A239)</f>
        <v>119</v>
      </c>
      <c r="C239" s="64" t="s">
        <v>393</v>
      </c>
      <c r="D239" s="22" t="s">
        <v>553</v>
      </c>
      <c r="E239" s="20">
        <v>0.99509999999999998</v>
      </c>
      <c r="F239" s="5">
        <f>P239+AE239</f>
        <v>188216.53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24">
        <v>0</v>
      </c>
      <c r="N239" s="5">
        <v>0</v>
      </c>
      <c r="O239" s="5">
        <v>186.15</v>
      </c>
      <c r="P239" s="5">
        <v>185435</v>
      </c>
      <c r="Q239" s="5">
        <v>0</v>
      </c>
      <c r="R239" s="5">
        <v>0</v>
      </c>
      <c r="S239" s="5">
        <v>0</v>
      </c>
      <c r="T239" s="67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f>ROUND(P239*1.5%,2)</f>
        <v>2781.53</v>
      </c>
      <c r="AF239" s="5">
        <v>0</v>
      </c>
      <c r="AG239" s="5">
        <v>0</v>
      </c>
      <c r="AH239" s="66" t="s">
        <v>49</v>
      </c>
      <c r="AI239" s="66">
        <v>2020</v>
      </c>
      <c r="AJ239" s="66">
        <v>2020</v>
      </c>
      <c r="AK239" s="15"/>
    </row>
    <row r="240" spans="1:37" ht="62.25">
      <c r="B240" s="63" t="s">
        <v>117</v>
      </c>
      <c r="C240" s="64"/>
      <c r="D240" s="65" t="s">
        <v>131</v>
      </c>
      <c r="E240" s="20">
        <f t="shared" si="78"/>
        <v>0.981975146584529</v>
      </c>
      <c r="F240" s="5">
        <f t="shared" si="78"/>
        <v>29122.38</v>
      </c>
      <c r="G240" s="5">
        <f t="shared" si="78"/>
        <v>0</v>
      </c>
      <c r="H240" s="5">
        <f t="shared" si="78"/>
        <v>0</v>
      </c>
      <c r="I240" s="5">
        <f t="shared" si="78"/>
        <v>28692</v>
      </c>
      <c r="J240" s="5">
        <f t="shared" si="78"/>
        <v>0</v>
      </c>
      <c r="K240" s="5">
        <f t="shared" si="78"/>
        <v>0</v>
      </c>
      <c r="L240" s="5">
        <f t="shared" si="78"/>
        <v>0</v>
      </c>
      <c r="M240" s="24">
        <f t="shared" si="78"/>
        <v>0</v>
      </c>
      <c r="N240" s="5">
        <f t="shared" si="78"/>
        <v>0</v>
      </c>
      <c r="O240" s="5">
        <f t="shared" si="78"/>
        <v>0</v>
      </c>
      <c r="P240" s="5">
        <f t="shared" si="78"/>
        <v>0</v>
      </c>
      <c r="Q240" s="5">
        <f t="shared" si="78"/>
        <v>0</v>
      </c>
      <c r="R240" s="5">
        <f t="shared" si="78"/>
        <v>0</v>
      </c>
      <c r="S240" s="5">
        <f t="shared" si="78"/>
        <v>0</v>
      </c>
      <c r="T240" s="5">
        <f t="shared" si="78"/>
        <v>0</v>
      </c>
      <c r="U240" s="5">
        <f t="shared" ref="U240:AG242" si="81">U241</f>
        <v>0</v>
      </c>
      <c r="V240" s="5">
        <f t="shared" si="81"/>
        <v>0</v>
      </c>
      <c r="W240" s="5">
        <f t="shared" si="81"/>
        <v>0</v>
      </c>
      <c r="X240" s="5">
        <f t="shared" si="81"/>
        <v>0</v>
      </c>
      <c r="Y240" s="5">
        <f t="shared" si="81"/>
        <v>0</v>
      </c>
      <c r="Z240" s="5">
        <f t="shared" si="81"/>
        <v>0</v>
      </c>
      <c r="AA240" s="5">
        <f t="shared" si="81"/>
        <v>0</v>
      </c>
      <c r="AB240" s="5">
        <f t="shared" si="81"/>
        <v>0</v>
      </c>
      <c r="AC240" s="5">
        <f t="shared" si="81"/>
        <v>0</v>
      </c>
      <c r="AD240" s="5">
        <f t="shared" si="81"/>
        <v>0</v>
      </c>
      <c r="AE240" s="5">
        <f t="shared" si="81"/>
        <v>430.38</v>
      </c>
      <c r="AF240" s="5">
        <f t="shared" si="81"/>
        <v>0</v>
      </c>
      <c r="AG240" s="5">
        <f t="shared" si="81"/>
        <v>0</v>
      </c>
      <c r="AH240" s="66" t="s">
        <v>131</v>
      </c>
      <c r="AI240" s="66" t="s">
        <v>131</v>
      </c>
      <c r="AJ240" s="66" t="s">
        <v>131</v>
      </c>
      <c r="AK240" s="15"/>
    </row>
    <row r="241" spans="1:37" ht="62.25">
      <c r="A241" s="1">
        <v>1</v>
      </c>
      <c r="B241" s="17">
        <f>SUBTOTAL(103,$A$92:A241)</f>
        <v>120</v>
      </c>
      <c r="C241" s="64" t="s">
        <v>569</v>
      </c>
      <c r="D241" s="26">
        <v>2015</v>
      </c>
      <c r="E241" s="20">
        <v>0.981975146584529</v>
      </c>
      <c r="F241" s="5">
        <f>G241+H241+I241+J241+K241+L241+N241+P241+R241+T241+V241+W241+X241+Y241+Z241+AA241+AB241+AC241+AD241+AE241+AF241+AG241</f>
        <v>29122.38</v>
      </c>
      <c r="G241" s="5">
        <v>0</v>
      </c>
      <c r="H241" s="5">
        <v>0</v>
      </c>
      <c r="I241" s="5">
        <v>28692</v>
      </c>
      <c r="J241" s="5">
        <v>0</v>
      </c>
      <c r="K241" s="5">
        <v>0</v>
      </c>
      <c r="L241" s="5">
        <v>0</v>
      </c>
      <c r="M241" s="24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67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f>ROUND(I241*1.5%,2)</f>
        <v>430.38</v>
      </c>
      <c r="AF241" s="5">
        <v>0</v>
      </c>
      <c r="AG241" s="5">
        <v>0</v>
      </c>
      <c r="AH241" s="66" t="s">
        <v>49</v>
      </c>
      <c r="AI241" s="66">
        <v>2021</v>
      </c>
      <c r="AJ241" s="66">
        <v>2021</v>
      </c>
      <c r="AK241" s="15"/>
    </row>
    <row r="242" spans="1:37" ht="62.25">
      <c r="B242" s="63" t="s">
        <v>115</v>
      </c>
      <c r="C242" s="64"/>
      <c r="D242" s="65" t="s">
        <v>131</v>
      </c>
      <c r="E242" s="20">
        <f t="shared" si="78"/>
        <v>0.95199999999999996</v>
      </c>
      <c r="F242" s="5">
        <f t="shared" si="78"/>
        <v>4917329.37</v>
      </c>
      <c r="G242" s="5">
        <f t="shared" si="78"/>
        <v>0</v>
      </c>
      <c r="H242" s="5">
        <f t="shared" si="78"/>
        <v>0</v>
      </c>
      <c r="I242" s="5">
        <f t="shared" si="78"/>
        <v>0</v>
      </c>
      <c r="J242" s="5">
        <f t="shared" si="78"/>
        <v>0</v>
      </c>
      <c r="K242" s="5">
        <f t="shared" si="78"/>
        <v>0</v>
      </c>
      <c r="L242" s="5">
        <f t="shared" si="78"/>
        <v>0</v>
      </c>
      <c r="M242" s="24">
        <f t="shared" si="78"/>
        <v>0</v>
      </c>
      <c r="N242" s="5">
        <f t="shared" si="78"/>
        <v>0</v>
      </c>
      <c r="O242" s="5">
        <f t="shared" si="78"/>
        <v>1020</v>
      </c>
      <c r="P242" s="5">
        <f t="shared" si="78"/>
        <v>4844659.4800000004</v>
      </c>
      <c r="Q242" s="5">
        <f t="shared" si="78"/>
        <v>0</v>
      </c>
      <c r="R242" s="5">
        <f t="shared" si="78"/>
        <v>0</v>
      </c>
      <c r="S242" s="5">
        <f t="shared" si="78"/>
        <v>0</v>
      </c>
      <c r="T242" s="5">
        <f t="shared" si="78"/>
        <v>0</v>
      </c>
      <c r="U242" s="5">
        <f t="shared" si="81"/>
        <v>0</v>
      </c>
      <c r="V242" s="5">
        <f t="shared" si="81"/>
        <v>0</v>
      </c>
      <c r="W242" s="5">
        <f t="shared" si="81"/>
        <v>0</v>
      </c>
      <c r="X242" s="5">
        <f t="shared" si="81"/>
        <v>0</v>
      </c>
      <c r="Y242" s="5">
        <f t="shared" si="81"/>
        <v>0</v>
      </c>
      <c r="Z242" s="5">
        <f t="shared" si="81"/>
        <v>0</v>
      </c>
      <c r="AA242" s="5">
        <f t="shared" si="81"/>
        <v>0</v>
      </c>
      <c r="AB242" s="5">
        <f t="shared" si="81"/>
        <v>0</v>
      </c>
      <c r="AC242" s="5">
        <f t="shared" si="81"/>
        <v>0</v>
      </c>
      <c r="AD242" s="5">
        <f t="shared" si="81"/>
        <v>0</v>
      </c>
      <c r="AE242" s="5">
        <f t="shared" si="81"/>
        <v>72669.89</v>
      </c>
      <c r="AF242" s="5">
        <f t="shared" si="81"/>
        <v>0</v>
      </c>
      <c r="AG242" s="5">
        <f t="shared" si="81"/>
        <v>0</v>
      </c>
      <c r="AH242" s="66" t="s">
        <v>131</v>
      </c>
      <c r="AI242" s="66" t="s">
        <v>131</v>
      </c>
      <c r="AJ242" s="66" t="s">
        <v>131</v>
      </c>
      <c r="AK242" s="15"/>
    </row>
    <row r="243" spans="1:37" ht="62.25">
      <c r="A243" s="1">
        <v>1</v>
      </c>
      <c r="B243" s="17">
        <f>SUBTOTAL(103,$A$92:A243)</f>
        <v>121</v>
      </c>
      <c r="C243" s="64" t="s">
        <v>891</v>
      </c>
      <c r="D243" s="26">
        <v>2015</v>
      </c>
      <c r="E243" s="20">
        <v>0.95199999999999996</v>
      </c>
      <c r="F243" s="5">
        <f>G243+H243+I243+J243+K243+L243+N243+P243+R243+T243+V243+W243+X243+Y243+Z243+AA243+AB243+AC243+AD243+AE243+AF243+AG243</f>
        <v>4917329.37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24">
        <v>0</v>
      </c>
      <c r="N243" s="5">
        <v>0</v>
      </c>
      <c r="O243" s="5">
        <v>1020</v>
      </c>
      <c r="P243" s="5">
        <v>4844659.4800000004</v>
      </c>
      <c r="Q243" s="5">
        <v>0</v>
      </c>
      <c r="R243" s="5">
        <v>0</v>
      </c>
      <c r="S243" s="5">
        <v>0</v>
      </c>
      <c r="T243" s="67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f>ROUND(P243*1.5%,2)</f>
        <v>72669.89</v>
      </c>
      <c r="AF243" s="5">
        <v>0</v>
      </c>
      <c r="AG243" s="5">
        <v>0</v>
      </c>
      <c r="AH243" s="66" t="s">
        <v>49</v>
      </c>
      <c r="AI243" s="66">
        <v>2021</v>
      </c>
      <c r="AJ243" s="66">
        <v>2021</v>
      </c>
      <c r="AK243" s="15"/>
    </row>
  </sheetData>
  <autoFilter ref="A13:AN242"/>
  <mergeCells count="34">
    <mergeCell ref="B90:C90"/>
    <mergeCell ref="B89:AJ89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J9:AJ12"/>
    <mergeCell ref="O10:P11"/>
    <mergeCell ref="Q10:R11"/>
    <mergeCell ref="AI9:AI12"/>
    <mergeCell ref="B14:AJ14"/>
    <mergeCell ref="W10:W11"/>
    <mergeCell ref="S10:T11"/>
    <mergeCell ref="M10:N11"/>
    <mergeCell ref="G10:L10"/>
    <mergeCell ref="U10:V11"/>
    <mergeCell ref="B5:AJ5"/>
    <mergeCell ref="B6:AJ6"/>
    <mergeCell ref="C7:AJ7"/>
    <mergeCell ref="C8:AJ8"/>
    <mergeCell ref="B9:B12"/>
    <mergeCell ref="C9:C12"/>
    <mergeCell ref="D9:D12"/>
    <mergeCell ref="E9:E11"/>
    <mergeCell ref="F9:F11"/>
    <mergeCell ref="G9:V9"/>
    <mergeCell ref="W9:AG9"/>
    <mergeCell ref="AH9:AH12"/>
  </mergeCells>
  <phoneticPr fontId="28" type="noConversion"/>
  <pageMargins left="0.39370078740157483" right="0.39370078740157483" top="0.39370078740157483" bottom="0.39370078740157483" header="0" footer="0"/>
  <pageSetup paperSize="8" scale="10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42"/>
  <sheetViews>
    <sheetView view="pageBreakPreview" topLeftCell="B16" zoomScale="25" zoomScaleNormal="25" zoomScaleSheetLayoutView="25" workbookViewId="0">
      <selection activeCell="R5" sqref="R5"/>
    </sheetView>
  </sheetViews>
  <sheetFormatPr defaultRowHeight="15"/>
  <cols>
    <col min="1" max="1" width="9.140625" style="1" hidden="1" customWidth="1"/>
    <col min="2" max="2" width="15.85546875" style="1" customWidth="1"/>
    <col min="3" max="3" width="219.85546875" style="1" customWidth="1"/>
    <col min="4" max="4" width="21.42578125" style="1" customWidth="1"/>
    <col min="5" max="5" width="14.85546875" style="1" customWidth="1"/>
    <col min="6" max="6" width="74.28515625" style="1" customWidth="1"/>
    <col min="7" max="7" width="12.85546875" style="1" customWidth="1"/>
    <col min="8" max="8" width="13.85546875" style="1" customWidth="1"/>
    <col min="9" max="9" width="31.140625" style="1" customWidth="1"/>
    <col min="10" max="10" width="32.28515625" style="1" customWidth="1"/>
    <col min="11" max="11" width="32.5703125" style="1" customWidth="1"/>
    <col min="12" max="12" width="32.85546875" style="1" customWidth="1"/>
    <col min="13" max="13" width="42.28515625" style="1" customWidth="1"/>
    <col min="14" max="14" width="95.28515625" style="1" customWidth="1"/>
    <col min="15" max="15" width="45.5703125" style="1" customWidth="1"/>
    <col min="16" max="16" width="29.85546875" style="1" customWidth="1"/>
    <col min="17" max="17" width="25.5703125" style="1" customWidth="1"/>
    <col min="18" max="16384" width="9.140625" style="1"/>
  </cols>
  <sheetData>
    <row r="1" spans="2:29" s="72" customFormat="1" ht="74.25" customHeight="1">
      <c r="N1" s="98"/>
      <c r="P1" s="98"/>
      <c r="Q1" s="99" t="s">
        <v>899</v>
      </c>
      <c r="R1" s="98"/>
      <c r="S1" s="98"/>
      <c r="T1" s="98"/>
      <c r="U1" s="98"/>
      <c r="V1" s="98"/>
      <c r="W1" s="98"/>
      <c r="X1" s="98"/>
      <c r="Y1" s="98"/>
      <c r="Z1" s="98"/>
      <c r="AC1" s="100"/>
    </row>
    <row r="2" spans="2:29" s="72" customFormat="1" ht="74.25" customHeight="1">
      <c r="O2" s="101"/>
      <c r="P2" s="101"/>
      <c r="Q2" s="102" t="s">
        <v>890</v>
      </c>
      <c r="R2" s="101"/>
      <c r="S2" s="101"/>
      <c r="T2" s="101"/>
      <c r="U2" s="101"/>
      <c r="V2" s="101"/>
      <c r="W2" s="101"/>
      <c r="X2" s="101"/>
      <c r="Y2" s="101"/>
      <c r="Z2" s="101"/>
      <c r="AC2" s="100"/>
    </row>
    <row r="3" spans="2:29" s="72" customFormat="1" ht="74.25" customHeight="1">
      <c r="O3" s="101"/>
      <c r="P3" s="101"/>
      <c r="Q3" s="102" t="s">
        <v>163</v>
      </c>
      <c r="R3" s="101"/>
      <c r="S3" s="101"/>
      <c r="T3" s="101"/>
      <c r="U3" s="101"/>
      <c r="V3" s="101"/>
      <c r="W3" s="101"/>
      <c r="X3" s="101"/>
      <c r="Y3" s="101"/>
      <c r="Z3" s="101"/>
      <c r="AC3" s="100"/>
    </row>
    <row r="4" spans="2:29" ht="35.25">
      <c r="B4" s="8"/>
      <c r="C4" s="8"/>
      <c r="D4" s="8"/>
      <c r="E4" s="8"/>
      <c r="F4" s="8"/>
      <c r="G4" s="9"/>
      <c r="H4" s="8"/>
      <c r="I4" s="8"/>
      <c r="J4" s="8"/>
      <c r="K4" s="8"/>
      <c r="L4" s="8"/>
      <c r="M4" s="163"/>
      <c r="N4" s="163"/>
      <c r="O4" s="163"/>
      <c r="P4" s="163"/>
      <c r="Q4" s="163"/>
    </row>
    <row r="5" spans="2:29" ht="35.25" customHeight="1">
      <c r="B5" s="8"/>
      <c r="C5" s="8"/>
      <c r="D5" s="8"/>
      <c r="E5" s="8"/>
      <c r="F5" s="8"/>
      <c r="G5" s="9"/>
      <c r="H5" s="8"/>
      <c r="I5" s="8"/>
      <c r="J5" s="8"/>
      <c r="K5" s="8"/>
      <c r="L5" s="8"/>
      <c r="M5" s="164" t="s">
        <v>901</v>
      </c>
      <c r="N5" s="164"/>
      <c r="O5" s="164"/>
      <c r="P5" s="164"/>
      <c r="Q5" s="164"/>
    </row>
    <row r="6" spans="2:29" ht="47.25" customHeight="1">
      <c r="B6" s="8"/>
      <c r="C6" s="8"/>
      <c r="D6" s="8"/>
      <c r="E6" s="8"/>
      <c r="F6" s="8"/>
      <c r="G6" s="9"/>
      <c r="H6" s="8"/>
      <c r="I6" s="8"/>
      <c r="J6" s="8"/>
      <c r="K6" s="8"/>
      <c r="L6" s="8"/>
      <c r="M6" s="164" t="s">
        <v>903</v>
      </c>
      <c r="N6" s="164"/>
      <c r="O6" s="164"/>
      <c r="P6" s="164"/>
      <c r="Q6" s="164"/>
    </row>
    <row r="7" spans="2:29" ht="201.75" customHeight="1">
      <c r="B7" s="155" t="s">
        <v>902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</row>
    <row r="8" spans="2:29" ht="35.25">
      <c r="B8" s="156" t="s">
        <v>0</v>
      </c>
      <c r="C8" s="156" t="s">
        <v>214</v>
      </c>
      <c r="D8" s="156" t="s">
        <v>32</v>
      </c>
      <c r="E8" s="157"/>
      <c r="F8" s="159" t="s">
        <v>33</v>
      </c>
      <c r="G8" s="160" t="s">
        <v>34</v>
      </c>
      <c r="H8" s="160" t="s">
        <v>35</v>
      </c>
      <c r="I8" s="159" t="s">
        <v>36</v>
      </c>
      <c r="J8" s="156" t="s">
        <v>37</v>
      </c>
      <c r="K8" s="157"/>
      <c r="L8" s="173" t="s">
        <v>215</v>
      </c>
      <c r="M8" s="173" t="s">
        <v>216</v>
      </c>
      <c r="N8" s="173" t="s">
        <v>38</v>
      </c>
      <c r="O8" s="178" t="s">
        <v>2</v>
      </c>
      <c r="P8" s="168" t="s">
        <v>39</v>
      </c>
      <c r="Q8" s="168" t="s">
        <v>40</v>
      </c>
    </row>
    <row r="9" spans="2:29">
      <c r="B9" s="157"/>
      <c r="C9" s="157"/>
      <c r="D9" s="159" t="s">
        <v>41</v>
      </c>
      <c r="E9" s="160" t="s">
        <v>42</v>
      </c>
      <c r="F9" s="157"/>
      <c r="G9" s="161"/>
      <c r="H9" s="161"/>
      <c r="I9" s="157"/>
      <c r="J9" s="159" t="s">
        <v>43</v>
      </c>
      <c r="K9" s="160" t="s">
        <v>217</v>
      </c>
      <c r="L9" s="174"/>
      <c r="M9" s="176"/>
      <c r="N9" s="176"/>
      <c r="O9" s="170"/>
      <c r="P9" s="169"/>
      <c r="Q9" s="169"/>
    </row>
    <row r="10" spans="2:29" ht="301.5" customHeight="1">
      <c r="B10" s="157"/>
      <c r="C10" s="157"/>
      <c r="D10" s="157"/>
      <c r="E10" s="170"/>
      <c r="F10" s="157"/>
      <c r="G10" s="161"/>
      <c r="H10" s="161"/>
      <c r="I10" s="157"/>
      <c r="J10" s="157"/>
      <c r="K10" s="172"/>
      <c r="L10" s="175"/>
      <c r="M10" s="176"/>
      <c r="N10" s="176"/>
      <c r="O10" s="179"/>
      <c r="P10" s="169"/>
      <c r="Q10" s="169"/>
    </row>
    <row r="11" spans="2:29" ht="35.25">
      <c r="B11" s="158"/>
      <c r="C11" s="158"/>
      <c r="D11" s="158"/>
      <c r="E11" s="171"/>
      <c r="F11" s="157"/>
      <c r="G11" s="162"/>
      <c r="H11" s="162"/>
      <c r="I11" s="10" t="s">
        <v>29</v>
      </c>
      <c r="J11" s="10" t="s">
        <v>29</v>
      </c>
      <c r="K11" s="10" t="s">
        <v>29</v>
      </c>
      <c r="L11" s="10" t="s">
        <v>44</v>
      </c>
      <c r="M11" s="177"/>
      <c r="N11" s="177"/>
      <c r="O11" s="10" t="s">
        <v>27</v>
      </c>
      <c r="P11" s="10" t="s">
        <v>45</v>
      </c>
      <c r="Q11" s="10" t="s">
        <v>45</v>
      </c>
    </row>
    <row r="12" spans="2:29" ht="35.25"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1">
        <v>5.5697674418604599</v>
      </c>
      <c r="H12" s="11">
        <v>7</v>
      </c>
      <c r="I12" s="11">
        <v>8</v>
      </c>
      <c r="J12" s="11">
        <v>9</v>
      </c>
      <c r="K12" s="11">
        <v>10</v>
      </c>
      <c r="L12" s="10">
        <v>11</v>
      </c>
      <c r="M12" s="11">
        <v>12</v>
      </c>
      <c r="N12" s="11">
        <v>13</v>
      </c>
      <c r="O12" s="11">
        <v>14</v>
      </c>
      <c r="P12" s="11">
        <v>15</v>
      </c>
      <c r="Q12" s="11">
        <v>16</v>
      </c>
    </row>
    <row r="13" spans="2:29" ht="45.75">
      <c r="B13" s="165" t="s">
        <v>181</v>
      </c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7"/>
    </row>
    <row r="14" spans="2:29" ht="35.25">
      <c r="B14" s="32" t="s">
        <v>582</v>
      </c>
      <c r="C14" s="103"/>
      <c r="D14" s="29" t="s">
        <v>131</v>
      </c>
      <c r="E14" s="29" t="s">
        <v>131</v>
      </c>
      <c r="F14" s="29" t="s">
        <v>131</v>
      </c>
      <c r="G14" s="29" t="s">
        <v>131</v>
      </c>
      <c r="H14" s="29" t="s">
        <v>131</v>
      </c>
      <c r="I14" s="31">
        <f>I15+I67</f>
        <v>43052.780000000006</v>
      </c>
      <c r="J14" s="31">
        <f>J15+J67</f>
        <v>37285.21</v>
      </c>
      <c r="K14" s="31">
        <f>K15+K67</f>
        <v>33378.71</v>
      </c>
      <c r="L14" s="34">
        <f>L15+L67</f>
        <v>1783</v>
      </c>
      <c r="M14" s="29" t="s">
        <v>131</v>
      </c>
      <c r="N14" s="29" t="s">
        <v>131</v>
      </c>
      <c r="O14" s="31">
        <v>82117834.670000002</v>
      </c>
      <c r="P14" s="30">
        <f>O14/I14</f>
        <v>1907.375892334943</v>
      </c>
      <c r="Q14" s="37">
        <f>MAX(Q15:Q87)</f>
        <v>8454.2325256975037</v>
      </c>
    </row>
    <row r="15" spans="2:29" ht="35.25">
      <c r="B15" s="32" t="s">
        <v>391</v>
      </c>
      <c r="C15" s="103"/>
      <c r="D15" s="29" t="s">
        <v>131</v>
      </c>
      <c r="E15" s="29" t="s">
        <v>131</v>
      </c>
      <c r="F15" s="29" t="s">
        <v>131</v>
      </c>
      <c r="G15" s="29" t="s">
        <v>131</v>
      </c>
      <c r="H15" s="29" t="s">
        <v>131</v>
      </c>
      <c r="I15" s="31">
        <f>I16+I18+I27+I29+I31+I33+I36+I39+I43+I45+I47+I51+I53+I55+I57+I61+I63+I65</f>
        <v>33695.280000000006</v>
      </c>
      <c r="J15" s="31">
        <f>J16+J18+J27+J29+J31+J33+J36+J39+J43+J45+J47+J51+J53+J55+J57+J61+J63+J65</f>
        <v>29309.11</v>
      </c>
      <c r="K15" s="31">
        <f>K16+K18+K27+K29+K31+K33+K36+K39+K43+K45+K47+K51+K53+K55+K57+K61+K63+K65</f>
        <v>26092.609999999997</v>
      </c>
      <c r="L15" s="34">
        <f>L16+L18+L27+L29+L31+L33+L36+L39+L43+L45+L47+L51+L53+L55+L57+L61+L63+L65</f>
        <v>1359</v>
      </c>
      <c r="M15" s="29" t="s">
        <v>131</v>
      </c>
      <c r="N15" s="29" t="s">
        <v>131</v>
      </c>
      <c r="O15" s="31">
        <v>51890376.860000007</v>
      </c>
      <c r="P15" s="30">
        <f>O15/I15</f>
        <v>1539.9894839870747</v>
      </c>
      <c r="Q15" s="37">
        <f>MAX(Q16:Q66)</f>
        <v>8454.2325256975037</v>
      </c>
    </row>
    <row r="16" spans="2:29" ht="35.25">
      <c r="B16" s="32" t="s">
        <v>96</v>
      </c>
      <c r="C16" s="103"/>
      <c r="D16" s="29" t="s">
        <v>131</v>
      </c>
      <c r="E16" s="29" t="s">
        <v>131</v>
      </c>
      <c r="F16" s="29" t="s">
        <v>131</v>
      </c>
      <c r="G16" s="29" t="s">
        <v>131</v>
      </c>
      <c r="H16" s="29" t="s">
        <v>131</v>
      </c>
      <c r="I16" s="31">
        <f>I17</f>
        <v>792.7</v>
      </c>
      <c r="J16" s="31">
        <f>J17</f>
        <v>481</v>
      </c>
      <c r="K16" s="31">
        <f>K17</f>
        <v>481</v>
      </c>
      <c r="L16" s="34">
        <f>L17</f>
        <v>42</v>
      </c>
      <c r="M16" s="29" t="s">
        <v>131</v>
      </c>
      <c r="N16" s="29" t="s">
        <v>131</v>
      </c>
      <c r="O16" s="30">
        <v>2142518.84</v>
      </c>
      <c r="P16" s="30">
        <f t="shared" ref="P16:P66" si="0">O16/I16</f>
        <v>2702.8117068247757</v>
      </c>
      <c r="Q16" s="37">
        <f>Q17</f>
        <v>4100.5072663050332</v>
      </c>
    </row>
    <row r="17" spans="1:17" ht="35.25">
      <c r="A17" s="1">
        <v>1</v>
      </c>
      <c r="B17" s="28">
        <f>SUBTOTAL(103,$A17:A$17)</f>
        <v>1</v>
      </c>
      <c r="C17" s="33" t="s">
        <v>182</v>
      </c>
      <c r="D17" s="29">
        <v>1969</v>
      </c>
      <c r="E17" s="29"/>
      <c r="F17" s="29" t="s">
        <v>48</v>
      </c>
      <c r="G17" s="29" t="s">
        <v>56</v>
      </c>
      <c r="H17" s="29" t="s">
        <v>56</v>
      </c>
      <c r="I17" s="31">
        <v>792.7</v>
      </c>
      <c r="J17" s="31">
        <v>481</v>
      </c>
      <c r="K17" s="31">
        <f>J17</f>
        <v>481</v>
      </c>
      <c r="L17" s="34">
        <v>42</v>
      </c>
      <c r="M17" s="29" t="s">
        <v>47</v>
      </c>
      <c r="N17" s="29" t="s">
        <v>49</v>
      </c>
      <c r="O17" s="30">
        <v>2142518.84</v>
      </c>
      <c r="P17" s="30">
        <f t="shared" si="0"/>
        <v>2702.8117068247757</v>
      </c>
      <c r="Q17" s="37">
        <v>4100.5072663050332</v>
      </c>
    </row>
    <row r="18" spans="1:17" ht="35.25">
      <c r="B18" s="33" t="s">
        <v>209</v>
      </c>
      <c r="C18" s="33"/>
      <c r="D18" s="29" t="s">
        <v>131</v>
      </c>
      <c r="E18" s="29" t="s">
        <v>131</v>
      </c>
      <c r="F18" s="29" t="s">
        <v>131</v>
      </c>
      <c r="G18" s="29" t="s">
        <v>131</v>
      </c>
      <c r="H18" s="29" t="s">
        <v>131</v>
      </c>
      <c r="I18" s="31">
        <f>SUM(I19:I26)</f>
        <v>12811.8</v>
      </c>
      <c r="J18" s="31">
        <f>SUM(J19:J26)</f>
        <v>11686.800000000001</v>
      </c>
      <c r="K18" s="31">
        <f>SUM(K19:K26)</f>
        <v>10750.4</v>
      </c>
      <c r="L18" s="34">
        <f>SUM(L19:L26)</f>
        <v>434</v>
      </c>
      <c r="M18" s="29" t="s">
        <v>131</v>
      </c>
      <c r="N18" s="29" t="s">
        <v>131</v>
      </c>
      <c r="O18" s="30">
        <v>14491975.379999999</v>
      </c>
      <c r="P18" s="30">
        <f t="shared" si="0"/>
        <v>1131.1428042897953</v>
      </c>
      <c r="Q18" s="37">
        <f>MAX(Q19:Q26)</f>
        <v>8454.2325256975037</v>
      </c>
    </row>
    <row r="19" spans="1:17" ht="35.25">
      <c r="A19" s="1">
        <v>1</v>
      </c>
      <c r="B19" s="28">
        <f>SUBTOTAL(103,$A$17:A19)</f>
        <v>2</v>
      </c>
      <c r="C19" s="33" t="s">
        <v>183</v>
      </c>
      <c r="D19" s="29">
        <v>1958</v>
      </c>
      <c r="E19" s="29"/>
      <c r="F19" s="29" t="s">
        <v>48</v>
      </c>
      <c r="G19" s="29" t="s">
        <v>75</v>
      </c>
      <c r="H19" s="29" t="s">
        <v>59</v>
      </c>
      <c r="I19" s="31">
        <v>5229.2</v>
      </c>
      <c r="J19" s="31">
        <v>5229.2</v>
      </c>
      <c r="K19" s="31">
        <f>J19-227.6</f>
        <v>5001.5999999999995</v>
      </c>
      <c r="L19" s="34">
        <v>121</v>
      </c>
      <c r="M19" s="29" t="s">
        <v>71</v>
      </c>
      <c r="N19" s="29" t="s">
        <v>218</v>
      </c>
      <c r="O19" s="30">
        <v>6213014.2000000002</v>
      </c>
      <c r="P19" s="30">
        <f t="shared" si="0"/>
        <v>1188.1385680410006</v>
      </c>
      <c r="Q19" s="37">
        <v>1719.2437294423623</v>
      </c>
    </row>
    <row r="20" spans="1:17" ht="35.25">
      <c r="A20" s="1">
        <v>1</v>
      </c>
      <c r="B20" s="28">
        <f>SUBTOTAL(103,$A$17:A20)</f>
        <v>3</v>
      </c>
      <c r="C20" s="33" t="s">
        <v>184</v>
      </c>
      <c r="D20" s="29">
        <v>1979</v>
      </c>
      <c r="E20" s="29"/>
      <c r="F20" s="29" t="s">
        <v>48</v>
      </c>
      <c r="G20" s="29" t="s">
        <v>75</v>
      </c>
      <c r="H20" s="29" t="s">
        <v>57</v>
      </c>
      <c r="I20" s="31">
        <v>802.1</v>
      </c>
      <c r="J20" s="31">
        <v>554.1</v>
      </c>
      <c r="K20" s="31">
        <f>J20</f>
        <v>554.1</v>
      </c>
      <c r="L20" s="34">
        <v>25</v>
      </c>
      <c r="M20" s="29" t="s">
        <v>50</v>
      </c>
      <c r="N20" s="29" t="s">
        <v>219</v>
      </c>
      <c r="O20" s="30">
        <v>987000</v>
      </c>
      <c r="P20" s="30">
        <f t="shared" si="0"/>
        <v>1230.5198853010845</v>
      </c>
      <c r="Q20" s="37">
        <v>1866.7727216057847</v>
      </c>
    </row>
    <row r="21" spans="1:17" ht="35.25">
      <c r="A21" s="1">
        <v>1</v>
      </c>
      <c r="B21" s="28">
        <f>SUBTOTAL(103,$A$17:A21)</f>
        <v>4</v>
      </c>
      <c r="C21" s="33" t="s">
        <v>185</v>
      </c>
      <c r="D21" s="29">
        <v>1961</v>
      </c>
      <c r="E21" s="29"/>
      <c r="F21" s="29" t="s">
        <v>48</v>
      </c>
      <c r="G21" s="29" t="s">
        <v>56</v>
      </c>
      <c r="H21" s="29" t="s">
        <v>57</v>
      </c>
      <c r="I21" s="31">
        <v>301.39999999999998</v>
      </c>
      <c r="J21" s="31">
        <v>276.5</v>
      </c>
      <c r="K21" s="31">
        <f>J21-38</f>
        <v>238.5</v>
      </c>
      <c r="L21" s="34">
        <v>16</v>
      </c>
      <c r="M21" s="29" t="s">
        <v>50</v>
      </c>
      <c r="N21" s="29" t="s">
        <v>171</v>
      </c>
      <c r="O21" s="30">
        <v>61989.62</v>
      </c>
      <c r="P21" s="30">
        <f t="shared" si="0"/>
        <v>205.67226277372265</v>
      </c>
      <c r="Q21" s="37">
        <v>205.67226277372265</v>
      </c>
    </row>
    <row r="22" spans="1:17" ht="35.25">
      <c r="A22" s="1">
        <v>1</v>
      </c>
      <c r="B22" s="28">
        <f>SUBTOTAL(103,$A$17:A22)</f>
        <v>5</v>
      </c>
      <c r="C22" s="33" t="s">
        <v>198</v>
      </c>
      <c r="D22" s="29">
        <v>1957</v>
      </c>
      <c r="E22" s="29"/>
      <c r="F22" s="29" t="s">
        <v>48</v>
      </c>
      <c r="G22" s="29" t="s">
        <v>56</v>
      </c>
      <c r="H22" s="29" t="s">
        <v>57</v>
      </c>
      <c r="I22" s="31">
        <v>272.39999999999998</v>
      </c>
      <c r="J22" s="31">
        <v>194.8</v>
      </c>
      <c r="K22" s="31">
        <f>J22-37.2</f>
        <v>157.60000000000002</v>
      </c>
      <c r="L22" s="34">
        <v>14</v>
      </c>
      <c r="M22" s="29" t="s">
        <v>50</v>
      </c>
      <c r="N22" s="29" t="s">
        <v>220</v>
      </c>
      <c r="O22" s="30">
        <v>995484.92999999993</v>
      </c>
      <c r="P22" s="30">
        <f t="shared" si="0"/>
        <v>3654.4968061674008</v>
      </c>
      <c r="Q22" s="37">
        <v>8454.2325256975037</v>
      </c>
    </row>
    <row r="23" spans="1:17" ht="35.25">
      <c r="A23" s="1">
        <v>1</v>
      </c>
      <c r="B23" s="28">
        <f>SUBTOTAL(103,$A$17:A23)</f>
        <v>6</v>
      </c>
      <c r="C23" s="33" t="s">
        <v>230</v>
      </c>
      <c r="D23" s="29">
        <v>1960</v>
      </c>
      <c r="E23" s="29"/>
      <c r="F23" s="29" t="s">
        <v>48</v>
      </c>
      <c r="G23" s="29" t="s">
        <v>59</v>
      </c>
      <c r="H23" s="29" t="s">
        <v>59</v>
      </c>
      <c r="I23" s="31">
        <v>2738.8</v>
      </c>
      <c r="J23" s="31">
        <v>2498.1</v>
      </c>
      <c r="K23" s="31">
        <f>2498.1-114.3</f>
        <v>2383.7999999999997</v>
      </c>
      <c r="L23" s="34">
        <v>128</v>
      </c>
      <c r="M23" s="29" t="s">
        <v>50</v>
      </c>
      <c r="N23" s="29" t="s">
        <v>229</v>
      </c>
      <c r="O23" s="30">
        <v>4973435.79</v>
      </c>
      <c r="P23" s="30">
        <f t="shared" si="0"/>
        <v>1815.9178435811302</v>
      </c>
      <c r="Q23" s="37">
        <v>2225.5787461662039</v>
      </c>
    </row>
    <row r="24" spans="1:17" ht="35.25">
      <c r="A24" s="1">
        <v>1</v>
      </c>
      <c r="B24" s="28">
        <f>SUBTOTAL(103,$A$17:A24)</f>
        <v>7</v>
      </c>
      <c r="C24" s="27" t="s">
        <v>234</v>
      </c>
      <c r="D24" s="29">
        <v>1956</v>
      </c>
      <c r="E24" s="29"/>
      <c r="F24" s="29" t="s">
        <v>48</v>
      </c>
      <c r="G24" s="29" t="s">
        <v>56</v>
      </c>
      <c r="H24" s="29" t="s">
        <v>57</v>
      </c>
      <c r="I24" s="31">
        <v>512.5</v>
      </c>
      <c r="J24" s="31">
        <v>512.20000000000005</v>
      </c>
      <c r="K24" s="31">
        <v>324.10000000000002</v>
      </c>
      <c r="L24" s="34">
        <v>25</v>
      </c>
      <c r="M24" s="29" t="s">
        <v>50</v>
      </c>
      <c r="N24" s="29" t="s">
        <v>220</v>
      </c>
      <c r="O24" s="30">
        <v>50283.37</v>
      </c>
      <c r="P24" s="30">
        <f t="shared" si="0"/>
        <v>98.113892682926831</v>
      </c>
      <c r="Q24" s="37">
        <v>98.113892682926831</v>
      </c>
    </row>
    <row r="25" spans="1:17" ht="35.25">
      <c r="A25" s="1">
        <v>1</v>
      </c>
      <c r="B25" s="28">
        <f>SUBTOTAL(103,$A$17:A25)</f>
        <v>8</v>
      </c>
      <c r="C25" s="27" t="s">
        <v>253</v>
      </c>
      <c r="D25" s="29">
        <v>1957</v>
      </c>
      <c r="E25" s="29"/>
      <c r="F25" s="29" t="s">
        <v>48</v>
      </c>
      <c r="G25" s="29" t="s">
        <v>56</v>
      </c>
      <c r="H25" s="29" t="s">
        <v>57</v>
      </c>
      <c r="I25" s="31">
        <v>436.2</v>
      </c>
      <c r="J25" s="31">
        <v>387.1</v>
      </c>
      <c r="K25" s="31">
        <v>340.8</v>
      </c>
      <c r="L25" s="34">
        <v>20</v>
      </c>
      <c r="M25" s="29" t="s">
        <v>50</v>
      </c>
      <c r="N25" s="29" t="s">
        <v>254</v>
      </c>
      <c r="O25" s="30">
        <v>43517.47</v>
      </c>
      <c r="P25" s="30">
        <f t="shared" si="0"/>
        <v>99.764947271893632</v>
      </c>
      <c r="Q25" s="37">
        <v>99.764947271893632</v>
      </c>
    </row>
    <row r="26" spans="1:17" ht="35.25">
      <c r="A26" s="1">
        <v>1</v>
      </c>
      <c r="B26" s="28">
        <f>SUBTOTAL(103,$A$17:A26)</f>
        <v>9</v>
      </c>
      <c r="C26" s="27" t="s">
        <v>400</v>
      </c>
      <c r="D26" s="29">
        <v>1965</v>
      </c>
      <c r="E26" s="29"/>
      <c r="F26" s="29" t="s">
        <v>48</v>
      </c>
      <c r="G26" s="29" t="s">
        <v>75</v>
      </c>
      <c r="H26" s="29" t="s">
        <v>56</v>
      </c>
      <c r="I26" s="31">
        <v>2519.1999999999998</v>
      </c>
      <c r="J26" s="31">
        <v>2034.8</v>
      </c>
      <c r="K26" s="31">
        <v>1749.9</v>
      </c>
      <c r="L26" s="34">
        <v>85</v>
      </c>
      <c r="M26" s="29" t="s">
        <v>46</v>
      </c>
      <c r="N26" s="29" t="s">
        <v>251</v>
      </c>
      <c r="O26" s="30">
        <v>1167250</v>
      </c>
      <c r="P26" s="30">
        <f t="shared" si="0"/>
        <v>463.34153699587176</v>
      </c>
      <c r="Q26" s="37">
        <v>743.95385995554136</v>
      </c>
    </row>
    <row r="27" spans="1:17" ht="35.25">
      <c r="B27" s="33" t="s">
        <v>98</v>
      </c>
      <c r="C27" s="33"/>
      <c r="D27" s="29" t="s">
        <v>131</v>
      </c>
      <c r="E27" s="29" t="s">
        <v>131</v>
      </c>
      <c r="F27" s="29" t="s">
        <v>131</v>
      </c>
      <c r="G27" s="29" t="s">
        <v>131</v>
      </c>
      <c r="H27" s="29" t="s">
        <v>131</v>
      </c>
      <c r="I27" s="31">
        <f>I28</f>
        <v>882.3</v>
      </c>
      <c r="J27" s="31">
        <f>J28</f>
        <v>779.5</v>
      </c>
      <c r="K27" s="31">
        <f>K28</f>
        <v>779.5</v>
      </c>
      <c r="L27" s="34">
        <f>L28</f>
        <v>29</v>
      </c>
      <c r="M27" s="29" t="s">
        <v>131</v>
      </c>
      <c r="N27" s="29" t="s">
        <v>131</v>
      </c>
      <c r="O27" s="30">
        <v>2196540.5</v>
      </c>
      <c r="P27" s="30">
        <f t="shared" si="0"/>
        <v>2489.5619403830897</v>
      </c>
      <c r="Q27" s="37">
        <f>MAX(Q28)</f>
        <v>2735.1358812195399</v>
      </c>
    </row>
    <row r="28" spans="1:17" ht="35.25">
      <c r="A28" s="1">
        <v>1</v>
      </c>
      <c r="B28" s="28">
        <f>SUBTOTAL(103,$A$17:A28)</f>
        <v>10</v>
      </c>
      <c r="C28" s="33" t="s">
        <v>83</v>
      </c>
      <c r="D28" s="29">
        <v>1982</v>
      </c>
      <c r="E28" s="29"/>
      <c r="F28" s="29" t="s">
        <v>48</v>
      </c>
      <c r="G28" s="29" t="s">
        <v>59</v>
      </c>
      <c r="H28" s="29" t="s">
        <v>57</v>
      </c>
      <c r="I28" s="31">
        <v>882.3</v>
      </c>
      <c r="J28" s="31">
        <v>779.5</v>
      </c>
      <c r="K28" s="31">
        <f>J28</f>
        <v>779.5</v>
      </c>
      <c r="L28" s="34">
        <v>29</v>
      </c>
      <c r="M28" s="29" t="s">
        <v>47</v>
      </c>
      <c r="N28" s="29" t="s">
        <v>49</v>
      </c>
      <c r="O28" s="30">
        <v>2196540.5</v>
      </c>
      <c r="P28" s="30">
        <f t="shared" si="0"/>
        <v>2489.5619403830897</v>
      </c>
      <c r="Q28" s="37">
        <v>2735.1358812195399</v>
      </c>
    </row>
    <row r="29" spans="1:17" ht="35.25">
      <c r="B29" s="104" t="s">
        <v>100</v>
      </c>
      <c r="C29" s="33"/>
      <c r="D29" s="29" t="s">
        <v>131</v>
      </c>
      <c r="E29" s="29" t="s">
        <v>131</v>
      </c>
      <c r="F29" s="29" t="s">
        <v>131</v>
      </c>
      <c r="G29" s="29" t="s">
        <v>131</v>
      </c>
      <c r="H29" s="29" t="s">
        <v>131</v>
      </c>
      <c r="I29" s="31">
        <f>I30</f>
        <v>1813.2</v>
      </c>
      <c r="J29" s="31">
        <f>J30</f>
        <v>1042.3</v>
      </c>
      <c r="K29" s="31">
        <f>K30</f>
        <v>567</v>
      </c>
      <c r="L29" s="34">
        <f>L30</f>
        <v>156</v>
      </c>
      <c r="M29" s="29" t="s">
        <v>131</v>
      </c>
      <c r="N29" s="29" t="s">
        <v>131</v>
      </c>
      <c r="O29" s="30">
        <v>5153989.53</v>
      </c>
      <c r="P29" s="30">
        <f t="shared" si="0"/>
        <v>2842.4826439444078</v>
      </c>
      <c r="Q29" s="37">
        <f>MAX(Q30)</f>
        <v>3718.1591363335538</v>
      </c>
    </row>
    <row r="30" spans="1:17" ht="35.25">
      <c r="A30" s="1">
        <v>1</v>
      </c>
      <c r="B30" s="28">
        <f>SUBTOTAL(103,$A$17:A30)</f>
        <v>11</v>
      </c>
      <c r="C30" s="33" t="s">
        <v>225</v>
      </c>
      <c r="D30" s="29">
        <v>2007</v>
      </c>
      <c r="E30" s="29"/>
      <c r="F30" s="29" t="s">
        <v>48</v>
      </c>
      <c r="G30" s="29" t="s">
        <v>61</v>
      </c>
      <c r="H30" s="29" t="s">
        <v>61</v>
      </c>
      <c r="I30" s="31">
        <v>1813.2</v>
      </c>
      <c r="J30" s="31">
        <v>1042.3</v>
      </c>
      <c r="K30" s="31">
        <f>J30-475.3</f>
        <v>567</v>
      </c>
      <c r="L30" s="34">
        <v>156</v>
      </c>
      <c r="M30" s="29" t="s">
        <v>50</v>
      </c>
      <c r="N30" s="29" t="s">
        <v>227</v>
      </c>
      <c r="O30" s="30">
        <v>5153989.53</v>
      </c>
      <c r="P30" s="30">
        <f t="shared" si="0"/>
        <v>2842.4826439444078</v>
      </c>
      <c r="Q30" s="37">
        <v>3718.1591363335538</v>
      </c>
    </row>
    <row r="31" spans="1:17" ht="35.25">
      <c r="B31" s="33" t="s">
        <v>101</v>
      </c>
      <c r="C31" s="33"/>
      <c r="D31" s="29" t="s">
        <v>131</v>
      </c>
      <c r="E31" s="29" t="s">
        <v>131</v>
      </c>
      <c r="F31" s="29" t="s">
        <v>131</v>
      </c>
      <c r="G31" s="29" t="s">
        <v>131</v>
      </c>
      <c r="H31" s="29" t="s">
        <v>131</v>
      </c>
      <c r="I31" s="31">
        <f>I32</f>
        <v>366.5</v>
      </c>
      <c r="J31" s="31">
        <f>J32</f>
        <v>336.9</v>
      </c>
      <c r="K31" s="31">
        <f>K32</f>
        <v>336.9</v>
      </c>
      <c r="L31" s="34">
        <f>L32</f>
        <v>13</v>
      </c>
      <c r="M31" s="29" t="s">
        <v>131</v>
      </c>
      <c r="N31" s="29" t="s">
        <v>131</v>
      </c>
      <c r="O31" s="30">
        <v>48440.03</v>
      </c>
      <c r="P31" s="30">
        <f t="shared" si="0"/>
        <v>132.16924965893588</v>
      </c>
      <c r="Q31" s="37">
        <f>MAX(Q32)</f>
        <v>150.38575716234652</v>
      </c>
    </row>
    <row r="32" spans="1:17" ht="35.25">
      <c r="A32" s="1">
        <v>1</v>
      </c>
      <c r="B32" s="28">
        <f>SUBTOTAL(103,$A$17:A32)</f>
        <v>12</v>
      </c>
      <c r="C32" s="33" t="s">
        <v>186</v>
      </c>
      <c r="D32" s="29">
        <v>1971</v>
      </c>
      <c r="E32" s="29"/>
      <c r="F32" s="29" t="s">
        <v>48</v>
      </c>
      <c r="G32" s="29" t="s">
        <v>56</v>
      </c>
      <c r="H32" s="29" t="s">
        <v>57</v>
      </c>
      <c r="I32" s="31">
        <v>366.5</v>
      </c>
      <c r="J32" s="31">
        <v>336.9</v>
      </c>
      <c r="K32" s="31">
        <f>J32</f>
        <v>336.9</v>
      </c>
      <c r="L32" s="34">
        <v>13</v>
      </c>
      <c r="M32" s="29" t="s">
        <v>50</v>
      </c>
      <c r="N32" s="29" t="s">
        <v>69</v>
      </c>
      <c r="O32" s="30">
        <v>48440.03</v>
      </c>
      <c r="P32" s="30">
        <f t="shared" si="0"/>
        <v>132.16924965893588</v>
      </c>
      <c r="Q32" s="37">
        <v>150.38575716234652</v>
      </c>
    </row>
    <row r="33" spans="1:17" ht="35.25">
      <c r="B33" s="33" t="s">
        <v>210</v>
      </c>
      <c r="C33" s="33"/>
      <c r="D33" s="29" t="s">
        <v>131</v>
      </c>
      <c r="E33" s="29" t="s">
        <v>131</v>
      </c>
      <c r="F33" s="29" t="s">
        <v>131</v>
      </c>
      <c r="G33" s="29" t="s">
        <v>131</v>
      </c>
      <c r="H33" s="29" t="s">
        <v>131</v>
      </c>
      <c r="I33" s="31">
        <f>I34+I35</f>
        <v>872.2</v>
      </c>
      <c r="J33" s="31">
        <f>J34+J35</f>
        <v>820.40000000000009</v>
      </c>
      <c r="K33" s="31">
        <f>K34+K35</f>
        <v>653.30000000000007</v>
      </c>
      <c r="L33" s="34">
        <f>L34+L35</f>
        <v>38</v>
      </c>
      <c r="M33" s="29" t="s">
        <v>131</v>
      </c>
      <c r="N33" s="29" t="s">
        <v>131</v>
      </c>
      <c r="O33" s="30">
        <v>31767</v>
      </c>
      <c r="P33" s="30">
        <f t="shared" si="0"/>
        <v>36.421692272414582</v>
      </c>
      <c r="Q33" s="37">
        <f>MAX(Q34:Q35)</f>
        <v>46.402933134476761</v>
      </c>
    </row>
    <row r="34" spans="1:17" ht="35.25">
      <c r="A34" s="1">
        <v>1</v>
      </c>
      <c r="B34" s="28">
        <f>SUBTOTAL(103,$A$17:A34)</f>
        <v>13</v>
      </c>
      <c r="C34" s="33" t="s">
        <v>187</v>
      </c>
      <c r="D34" s="29">
        <v>1938</v>
      </c>
      <c r="E34" s="29"/>
      <c r="F34" s="29" t="s">
        <v>68</v>
      </c>
      <c r="G34" s="29" t="s">
        <v>56</v>
      </c>
      <c r="H34" s="29" t="s">
        <v>56</v>
      </c>
      <c r="I34" s="31">
        <v>469.9</v>
      </c>
      <c r="J34" s="31">
        <v>418.1</v>
      </c>
      <c r="K34" s="31">
        <f>J34-167.1</f>
        <v>251.00000000000003</v>
      </c>
      <c r="L34" s="34">
        <v>19</v>
      </c>
      <c r="M34" s="29" t="s">
        <v>47</v>
      </c>
      <c r="N34" s="29" t="s">
        <v>49</v>
      </c>
      <c r="O34" s="30">
        <v>13099.1</v>
      </c>
      <c r="P34" s="30">
        <f t="shared" si="0"/>
        <v>27.876356671632266</v>
      </c>
      <c r="Q34" s="37">
        <v>27.876356671632266</v>
      </c>
    </row>
    <row r="35" spans="1:17" ht="35.25">
      <c r="A35" s="1">
        <v>1</v>
      </c>
      <c r="B35" s="28">
        <f>SUBTOTAL(103,$A$17:A35)</f>
        <v>14</v>
      </c>
      <c r="C35" s="33" t="s">
        <v>188</v>
      </c>
      <c r="D35" s="29">
        <v>1950</v>
      </c>
      <c r="E35" s="29"/>
      <c r="F35" s="29" t="s">
        <v>68</v>
      </c>
      <c r="G35" s="29" t="s">
        <v>56</v>
      </c>
      <c r="H35" s="29" t="s">
        <v>56</v>
      </c>
      <c r="I35" s="31">
        <v>402.3</v>
      </c>
      <c r="J35" s="31">
        <v>402.3</v>
      </c>
      <c r="K35" s="31">
        <f>J35</f>
        <v>402.3</v>
      </c>
      <c r="L35" s="34">
        <v>19</v>
      </c>
      <c r="M35" s="29" t="s">
        <v>47</v>
      </c>
      <c r="N35" s="29" t="s">
        <v>49</v>
      </c>
      <c r="O35" s="30">
        <v>18667.900000000001</v>
      </c>
      <c r="P35" s="30">
        <f t="shared" si="0"/>
        <v>46.402933134476761</v>
      </c>
      <c r="Q35" s="37">
        <v>46.402933134476761</v>
      </c>
    </row>
    <row r="36" spans="1:17" ht="35.25">
      <c r="B36" s="33" t="s">
        <v>105</v>
      </c>
      <c r="C36" s="33"/>
      <c r="D36" s="29" t="s">
        <v>131</v>
      </c>
      <c r="E36" s="29" t="s">
        <v>131</v>
      </c>
      <c r="F36" s="29" t="s">
        <v>131</v>
      </c>
      <c r="G36" s="29" t="s">
        <v>131</v>
      </c>
      <c r="H36" s="29" t="s">
        <v>131</v>
      </c>
      <c r="I36" s="31">
        <f>I37+I38</f>
        <v>881.98</v>
      </c>
      <c r="J36" s="31">
        <f>J37+J38</f>
        <v>832.51</v>
      </c>
      <c r="K36" s="31">
        <f>K37+K38</f>
        <v>544.31000000000006</v>
      </c>
      <c r="L36" s="34">
        <f>L37+L38</f>
        <v>48</v>
      </c>
      <c r="M36" s="29" t="s">
        <v>131</v>
      </c>
      <c r="N36" s="29" t="s">
        <v>131</v>
      </c>
      <c r="O36" s="30">
        <v>3557815.66</v>
      </c>
      <c r="P36" s="30">
        <f t="shared" si="0"/>
        <v>4033.8960747409237</v>
      </c>
      <c r="Q36" s="37">
        <f>MAX(Q37:Q38)</f>
        <v>6653.6489695238097</v>
      </c>
    </row>
    <row r="37" spans="1:17" ht="35.25">
      <c r="A37" s="1">
        <v>1</v>
      </c>
      <c r="B37" s="28">
        <f>SUBTOTAL(103,$A$17:A37)</f>
        <v>15</v>
      </c>
      <c r="C37" s="33" t="s">
        <v>208</v>
      </c>
      <c r="D37" s="29">
        <v>1962</v>
      </c>
      <c r="E37" s="29"/>
      <c r="F37" s="29" t="s">
        <v>48</v>
      </c>
      <c r="G37" s="29" t="s">
        <v>56</v>
      </c>
      <c r="H37" s="29" t="s">
        <v>56</v>
      </c>
      <c r="I37" s="31">
        <v>671.98</v>
      </c>
      <c r="J37" s="31">
        <v>624.21</v>
      </c>
      <c r="K37" s="31">
        <f>J37-79.9</f>
        <v>544.31000000000006</v>
      </c>
      <c r="L37" s="34">
        <v>38</v>
      </c>
      <c r="M37" s="29" t="s">
        <v>50</v>
      </c>
      <c r="N37" s="29" t="s">
        <v>53</v>
      </c>
      <c r="O37" s="30">
        <v>2576429.98</v>
      </c>
      <c r="P37" s="30">
        <f t="shared" si="0"/>
        <v>3834.0872942647102</v>
      </c>
      <c r="Q37" s="37">
        <v>5612.772182803059</v>
      </c>
    </row>
    <row r="38" spans="1:17" ht="35.25">
      <c r="A38" s="1">
        <v>1</v>
      </c>
      <c r="B38" s="28">
        <f>SUBTOTAL(103,$A$17:A38)</f>
        <v>16</v>
      </c>
      <c r="C38" s="33" t="s">
        <v>189</v>
      </c>
      <c r="D38" s="29">
        <v>1964</v>
      </c>
      <c r="E38" s="29"/>
      <c r="F38" s="29" t="s">
        <v>48</v>
      </c>
      <c r="G38" s="29" t="s">
        <v>56</v>
      </c>
      <c r="H38" s="29" t="s">
        <v>57</v>
      </c>
      <c r="I38" s="31">
        <v>210</v>
      </c>
      <c r="J38" s="31">
        <v>208.3</v>
      </c>
      <c r="K38" s="31">
        <v>0</v>
      </c>
      <c r="L38" s="34">
        <v>10</v>
      </c>
      <c r="M38" s="29" t="s">
        <v>47</v>
      </c>
      <c r="N38" s="29" t="s">
        <v>49</v>
      </c>
      <c r="O38" s="30">
        <v>981385.68</v>
      </c>
      <c r="P38" s="30">
        <f t="shared" si="0"/>
        <v>4673.2651428571435</v>
      </c>
      <c r="Q38" s="37">
        <v>6653.6489695238097</v>
      </c>
    </row>
    <row r="39" spans="1:17" ht="35.25">
      <c r="B39" s="33" t="s">
        <v>91</v>
      </c>
      <c r="C39" s="33"/>
      <c r="D39" s="29" t="s">
        <v>131</v>
      </c>
      <c r="E39" s="29" t="s">
        <v>131</v>
      </c>
      <c r="F39" s="29" t="s">
        <v>131</v>
      </c>
      <c r="G39" s="29" t="s">
        <v>131</v>
      </c>
      <c r="H39" s="29" t="s">
        <v>131</v>
      </c>
      <c r="I39" s="31">
        <f>I40+I41+I42</f>
        <v>2093.1</v>
      </c>
      <c r="J39" s="31">
        <f>J40+J41+J42</f>
        <v>1649</v>
      </c>
      <c r="K39" s="31">
        <f>K40+K41+K42</f>
        <v>1480.6</v>
      </c>
      <c r="L39" s="34">
        <f>L40+L41+L42</f>
        <v>110</v>
      </c>
      <c r="M39" s="29" t="s">
        <v>131</v>
      </c>
      <c r="N39" s="29" t="s">
        <v>131</v>
      </c>
      <c r="O39" s="30">
        <v>223917.22</v>
      </c>
      <c r="P39" s="30">
        <f t="shared" si="0"/>
        <v>106.97874922363958</v>
      </c>
      <c r="Q39" s="37">
        <f>MAX(Q40:Q42)</f>
        <v>174.55257664709717</v>
      </c>
    </row>
    <row r="40" spans="1:17" ht="35.25">
      <c r="A40" s="1">
        <v>1</v>
      </c>
      <c r="B40" s="28">
        <f>SUBTOTAL(103,$A$17:A40)</f>
        <v>17</v>
      </c>
      <c r="C40" s="33" t="s">
        <v>190</v>
      </c>
      <c r="D40" s="29">
        <v>1960</v>
      </c>
      <c r="E40" s="29"/>
      <c r="F40" s="29" t="s">
        <v>48</v>
      </c>
      <c r="G40" s="29" t="s">
        <v>56</v>
      </c>
      <c r="H40" s="29" t="s">
        <v>57</v>
      </c>
      <c r="I40" s="31">
        <v>306.60000000000002</v>
      </c>
      <c r="J40" s="31">
        <v>285.60000000000002</v>
      </c>
      <c r="K40" s="31">
        <f>J40-33.2</f>
        <v>252.40000000000003</v>
      </c>
      <c r="L40" s="34">
        <v>21</v>
      </c>
      <c r="M40" s="29" t="s">
        <v>47</v>
      </c>
      <c r="N40" s="29" t="s">
        <v>49</v>
      </c>
      <c r="O40" s="30">
        <v>47271.85</v>
      </c>
      <c r="P40" s="30">
        <f t="shared" si="0"/>
        <v>154.18085453359424</v>
      </c>
      <c r="Q40" s="37">
        <v>174.55257664709717</v>
      </c>
    </row>
    <row r="41" spans="1:17" ht="35.25">
      <c r="A41" s="1">
        <v>1</v>
      </c>
      <c r="B41" s="28">
        <f>SUBTOTAL(103,$A$17:A41)</f>
        <v>18</v>
      </c>
      <c r="C41" s="33" t="s">
        <v>93</v>
      </c>
      <c r="D41" s="29">
        <v>1960</v>
      </c>
      <c r="E41" s="29"/>
      <c r="F41" s="29" t="s">
        <v>48</v>
      </c>
      <c r="G41" s="29" t="s">
        <v>61</v>
      </c>
      <c r="H41" s="29" t="s">
        <v>56</v>
      </c>
      <c r="I41" s="31">
        <v>1286.5</v>
      </c>
      <c r="J41" s="31">
        <v>881.8</v>
      </c>
      <c r="K41" s="31">
        <f>J41-65.9</f>
        <v>815.9</v>
      </c>
      <c r="L41" s="34">
        <v>39</v>
      </c>
      <c r="M41" s="29" t="s">
        <v>47</v>
      </c>
      <c r="N41" s="29" t="s">
        <v>49</v>
      </c>
      <c r="O41" s="30">
        <v>99352.46</v>
      </c>
      <c r="P41" s="30">
        <f t="shared" si="0"/>
        <v>77.226941313641674</v>
      </c>
      <c r="Q41" s="37">
        <v>77.226941313641674</v>
      </c>
    </row>
    <row r="42" spans="1:17" ht="35.25">
      <c r="A42" s="1">
        <v>1</v>
      </c>
      <c r="B42" s="28">
        <f>SUBTOTAL(103,$A$17:A42)</f>
        <v>19</v>
      </c>
      <c r="C42" s="33" t="s">
        <v>92</v>
      </c>
      <c r="D42" s="29">
        <v>1965</v>
      </c>
      <c r="E42" s="29"/>
      <c r="F42" s="29" t="s">
        <v>48</v>
      </c>
      <c r="G42" s="29" t="s">
        <v>56</v>
      </c>
      <c r="H42" s="29" t="s">
        <v>61</v>
      </c>
      <c r="I42" s="31">
        <v>500</v>
      </c>
      <c r="J42" s="31">
        <v>481.6</v>
      </c>
      <c r="K42" s="31">
        <f>J42-69.3</f>
        <v>412.3</v>
      </c>
      <c r="L42" s="34">
        <v>50</v>
      </c>
      <c r="M42" s="29" t="s">
        <v>47</v>
      </c>
      <c r="N42" s="29" t="s">
        <v>49</v>
      </c>
      <c r="O42" s="30">
        <v>77292.91</v>
      </c>
      <c r="P42" s="30">
        <f t="shared" si="0"/>
        <v>154.58582000000001</v>
      </c>
      <c r="Q42" s="37">
        <v>154.58582000000001</v>
      </c>
    </row>
    <row r="43" spans="1:17" ht="35.25">
      <c r="B43" s="33" t="s">
        <v>108</v>
      </c>
      <c r="C43" s="33"/>
      <c r="D43" s="29" t="s">
        <v>131</v>
      </c>
      <c r="E43" s="29" t="s">
        <v>131</v>
      </c>
      <c r="F43" s="29" t="s">
        <v>131</v>
      </c>
      <c r="G43" s="29" t="s">
        <v>131</v>
      </c>
      <c r="H43" s="29" t="s">
        <v>131</v>
      </c>
      <c r="I43" s="31">
        <f>I44</f>
        <v>755.8</v>
      </c>
      <c r="J43" s="31">
        <f>J44</f>
        <v>690.5</v>
      </c>
      <c r="K43" s="31">
        <f>K44</f>
        <v>391.9</v>
      </c>
      <c r="L43" s="34">
        <f>L44</f>
        <v>20</v>
      </c>
      <c r="M43" s="29" t="s">
        <v>131</v>
      </c>
      <c r="N43" s="29" t="s">
        <v>131</v>
      </c>
      <c r="O43" s="30">
        <v>3265341.36</v>
      </c>
      <c r="P43" s="30">
        <f t="shared" si="0"/>
        <v>4320.3775602011119</v>
      </c>
      <c r="Q43" s="37">
        <f>MAX(Q44)</f>
        <v>5737.0236173590902</v>
      </c>
    </row>
    <row r="44" spans="1:17" ht="35.25">
      <c r="A44" s="1">
        <v>1</v>
      </c>
      <c r="B44" s="28">
        <f>SUBTOTAL(103,$A$17:A44)</f>
        <v>20</v>
      </c>
      <c r="C44" s="33" t="s">
        <v>191</v>
      </c>
      <c r="D44" s="29">
        <v>1953</v>
      </c>
      <c r="E44" s="29"/>
      <c r="F44" s="29" t="s">
        <v>48</v>
      </c>
      <c r="G44" s="29" t="s">
        <v>56</v>
      </c>
      <c r="H44" s="29" t="s">
        <v>56</v>
      </c>
      <c r="I44" s="31">
        <v>755.8</v>
      </c>
      <c r="J44" s="31">
        <v>690.5</v>
      </c>
      <c r="K44" s="31">
        <f>J44-298.6</f>
        <v>391.9</v>
      </c>
      <c r="L44" s="34">
        <v>20</v>
      </c>
      <c r="M44" s="29" t="s">
        <v>47</v>
      </c>
      <c r="N44" s="29" t="s">
        <v>49</v>
      </c>
      <c r="O44" s="30">
        <v>3265341.36</v>
      </c>
      <c r="P44" s="30">
        <f t="shared" si="0"/>
        <v>4320.3775602011119</v>
      </c>
      <c r="Q44" s="37">
        <v>5737.0236173590902</v>
      </c>
    </row>
    <row r="45" spans="1:17" ht="35.25">
      <c r="B45" s="33" t="s">
        <v>110</v>
      </c>
      <c r="C45" s="33"/>
      <c r="D45" s="29" t="s">
        <v>131</v>
      </c>
      <c r="E45" s="29" t="s">
        <v>131</v>
      </c>
      <c r="F45" s="29" t="s">
        <v>131</v>
      </c>
      <c r="G45" s="29" t="s">
        <v>131</v>
      </c>
      <c r="H45" s="29" t="s">
        <v>131</v>
      </c>
      <c r="I45" s="31">
        <f>I46</f>
        <v>1840.2</v>
      </c>
      <c r="J45" s="31">
        <f>J46</f>
        <v>1840.2</v>
      </c>
      <c r="K45" s="31">
        <f>K46</f>
        <v>1695.4</v>
      </c>
      <c r="L45" s="34">
        <f>L46</f>
        <v>77</v>
      </c>
      <c r="M45" s="29" t="s">
        <v>131</v>
      </c>
      <c r="N45" s="29" t="s">
        <v>131</v>
      </c>
      <c r="O45" s="30">
        <v>97672.62</v>
      </c>
      <c r="P45" s="30">
        <f t="shared" si="0"/>
        <v>53.077176393870225</v>
      </c>
      <c r="Q45" s="37">
        <f>MAX(Q46)</f>
        <v>53.077176393870225</v>
      </c>
    </row>
    <row r="46" spans="1:17" ht="35.25">
      <c r="A46" s="1">
        <v>1</v>
      </c>
      <c r="B46" s="28">
        <f>SUBTOTAL(103,$A$17:A46)</f>
        <v>21</v>
      </c>
      <c r="C46" s="33" t="s">
        <v>192</v>
      </c>
      <c r="D46" s="29">
        <v>1986</v>
      </c>
      <c r="E46" s="29"/>
      <c r="F46" s="29" t="s">
        <v>48</v>
      </c>
      <c r="G46" s="29" t="s">
        <v>61</v>
      </c>
      <c r="H46" s="29" t="s">
        <v>61</v>
      </c>
      <c r="I46" s="31">
        <v>1840.2</v>
      </c>
      <c r="J46" s="31">
        <v>1840.2</v>
      </c>
      <c r="K46" s="31">
        <f>J46-144.8</f>
        <v>1695.4</v>
      </c>
      <c r="L46" s="34">
        <v>77</v>
      </c>
      <c r="M46" s="29" t="s">
        <v>71</v>
      </c>
      <c r="N46" s="29" t="s">
        <v>221</v>
      </c>
      <c r="O46" s="30">
        <v>97672.62</v>
      </c>
      <c r="P46" s="30">
        <f t="shared" si="0"/>
        <v>53.077176393870225</v>
      </c>
      <c r="Q46" s="37">
        <v>53.077176393870225</v>
      </c>
    </row>
    <row r="47" spans="1:17" ht="35.25">
      <c r="B47" s="33" t="s">
        <v>211</v>
      </c>
      <c r="C47" s="33"/>
      <c r="D47" s="29" t="s">
        <v>131</v>
      </c>
      <c r="E47" s="29" t="s">
        <v>131</v>
      </c>
      <c r="F47" s="29" t="s">
        <v>131</v>
      </c>
      <c r="G47" s="29" t="s">
        <v>131</v>
      </c>
      <c r="H47" s="29" t="s">
        <v>131</v>
      </c>
      <c r="I47" s="31">
        <f>I48+I49+I50</f>
        <v>1621.7</v>
      </c>
      <c r="J47" s="31">
        <f>J48+J49+J50</f>
        <v>1475.1999999999998</v>
      </c>
      <c r="K47" s="31">
        <f>K48+K49+K50</f>
        <v>1246.9000000000001</v>
      </c>
      <c r="L47" s="34">
        <f>L48+L49+L50</f>
        <v>58</v>
      </c>
      <c r="M47" s="29" t="s">
        <v>131</v>
      </c>
      <c r="N47" s="29" t="s">
        <v>131</v>
      </c>
      <c r="O47" s="30">
        <v>7637123.5900000008</v>
      </c>
      <c r="P47" s="30">
        <f t="shared" si="0"/>
        <v>4709.3319294567436</v>
      </c>
      <c r="Q47" s="37">
        <f>MAX(Q48:Q50)</f>
        <v>5641.2007103377682</v>
      </c>
    </row>
    <row r="48" spans="1:17" ht="35.25">
      <c r="A48" s="1">
        <v>1</v>
      </c>
      <c r="B48" s="28">
        <f>SUBTOTAL(103,$A$17:A48)</f>
        <v>22</v>
      </c>
      <c r="C48" s="33" t="s">
        <v>193</v>
      </c>
      <c r="D48" s="29">
        <v>1950</v>
      </c>
      <c r="E48" s="29"/>
      <c r="F48" s="29" t="s">
        <v>48</v>
      </c>
      <c r="G48" s="29" t="s">
        <v>56</v>
      </c>
      <c r="H48" s="29" t="s">
        <v>57</v>
      </c>
      <c r="I48" s="31">
        <v>488.5</v>
      </c>
      <c r="J48" s="31">
        <v>433.9</v>
      </c>
      <c r="K48" s="31">
        <f>J48-53.4</f>
        <v>380.5</v>
      </c>
      <c r="L48" s="34">
        <v>18</v>
      </c>
      <c r="M48" s="29" t="s">
        <v>50</v>
      </c>
      <c r="N48" s="29" t="s">
        <v>65</v>
      </c>
      <c r="O48" s="30">
        <v>2406352.7599999998</v>
      </c>
      <c r="P48" s="30">
        <f t="shared" si="0"/>
        <v>4926.003602865916</v>
      </c>
      <c r="Q48" s="37">
        <v>5641.2007103377682</v>
      </c>
    </row>
    <row r="49" spans="1:17" ht="35.25">
      <c r="A49" s="1">
        <v>1</v>
      </c>
      <c r="B49" s="28">
        <f>SUBTOTAL(103,$A$17:A49)</f>
        <v>23</v>
      </c>
      <c r="C49" s="33" t="s">
        <v>194</v>
      </c>
      <c r="D49" s="29">
        <v>1956</v>
      </c>
      <c r="E49" s="29"/>
      <c r="F49" s="29" t="s">
        <v>48</v>
      </c>
      <c r="G49" s="29" t="s">
        <v>56</v>
      </c>
      <c r="H49" s="29" t="s">
        <v>57</v>
      </c>
      <c r="I49" s="31">
        <v>567.9</v>
      </c>
      <c r="J49" s="31">
        <v>524.79999999999995</v>
      </c>
      <c r="K49" s="31">
        <f>J49-79.8</f>
        <v>444.99999999999994</v>
      </c>
      <c r="L49" s="34">
        <v>13</v>
      </c>
      <c r="M49" s="29" t="s">
        <v>50</v>
      </c>
      <c r="N49" s="29" t="s">
        <v>65</v>
      </c>
      <c r="O49" s="30">
        <v>2491755.89</v>
      </c>
      <c r="P49" s="30">
        <f t="shared" si="0"/>
        <v>4387.6666490579328</v>
      </c>
      <c r="Q49" s="37">
        <v>5514.9371720373301</v>
      </c>
    </row>
    <row r="50" spans="1:17" ht="35.25">
      <c r="A50" s="1">
        <v>1</v>
      </c>
      <c r="B50" s="28">
        <f>SUBTOTAL(103,$A$17:A50)</f>
        <v>24</v>
      </c>
      <c r="C50" s="33" t="s">
        <v>195</v>
      </c>
      <c r="D50" s="29">
        <v>1963</v>
      </c>
      <c r="E50" s="29"/>
      <c r="F50" s="29" t="s">
        <v>48</v>
      </c>
      <c r="G50" s="29" t="s">
        <v>56</v>
      </c>
      <c r="H50" s="29" t="s">
        <v>56</v>
      </c>
      <c r="I50" s="31">
        <v>565.29999999999995</v>
      </c>
      <c r="J50" s="31">
        <v>516.5</v>
      </c>
      <c r="K50" s="31">
        <f>J50-95.1</f>
        <v>421.4</v>
      </c>
      <c r="L50" s="34">
        <v>27</v>
      </c>
      <c r="M50" s="29" t="s">
        <v>50</v>
      </c>
      <c r="N50" s="29" t="s">
        <v>67</v>
      </c>
      <c r="O50" s="30">
        <v>2739014.9400000004</v>
      </c>
      <c r="P50" s="30">
        <f t="shared" si="0"/>
        <v>4845.2413585706718</v>
      </c>
      <c r="Q50" s="37">
        <v>5463.0469662126307</v>
      </c>
    </row>
    <row r="51" spans="1:17" ht="35.25">
      <c r="B51" s="33" t="s">
        <v>212</v>
      </c>
      <c r="C51" s="33"/>
      <c r="D51" s="29" t="s">
        <v>131</v>
      </c>
      <c r="E51" s="29" t="s">
        <v>131</v>
      </c>
      <c r="F51" s="29" t="s">
        <v>131</v>
      </c>
      <c r="G51" s="29" t="s">
        <v>131</v>
      </c>
      <c r="H51" s="29" t="s">
        <v>131</v>
      </c>
      <c r="I51" s="31">
        <f>I52</f>
        <v>1598.9</v>
      </c>
      <c r="J51" s="31">
        <f>J52</f>
        <v>874</v>
      </c>
      <c r="K51" s="31">
        <f>K52</f>
        <v>786.4</v>
      </c>
      <c r="L51" s="34">
        <f>L52</f>
        <v>38</v>
      </c>
      <c r="M51" s="29" t="s">
        <v>131</v>
      </c>
      <c r="N51" s="29" t="s">
        <v>131</v>
      </c>
      <c r="O51" s="30">
        <v>2434994.4500000002</v>
      </c>
      <c r="P51" s="30">
        <f t="shared" si="0"/>
        <v>1522.9185377446995</v>
      </c>
      <c r="Q51" s="37">
        <f>MAX(Q52)</f>
        <v>3043.5610732378509</v>
      </c>
    </row>
    <row r="52" spans="1:17" ht="35.25">
      <c r="A52" s="1">
        <v>1</v>
      </c>
      <c r="B52" s="28">
        <f>SUBTOTAL(103,$A$17:A52)</f>
        <v>25</v>
      </c>
      <c r="C52" s="33" t="s">
        <v>200</v>
      </c>
      <c r="D52" s="29">
        <v>1974</v>
      </c>
      <c r="E52" s="29"/>
      <c r="F52" s="29" t="s">
        <v>48</v>
      </c>
      <c r="G52" s="29" t="s">
        <v>56</v>
      </c>
      <c r="H52" s="29" t="s">
        <v>61</v>
      </c>
      <c r="I52" s="31">
        <v>1598.9</v>
      </c>
      <c r="J52" s="31">
        <v>874</v>
      </c>
      <c r="K52" s="31">
        <f>J52-87.6</f>
        <v>786.4</v>
      </c>
      <c r="L52" s="34">
        <v>38</v>
      </c>
      <c r="M52" s="29" t="s">
        <v>50</v>
      </c>
      <c r="N52" s="29" t="s">
        <v>55</v>
      </c>
      <c r="O52" s="30">
        <v>2434994.4500000002</v>
      </c>
      <c r="P52" s="30">
        <f t="shared" si="0"/>
        <v>1522.9185377446995</v>
      </c>
      <c r="Q52" s="37">
        <v>3043.5610732378509</v>
      </c>
    </row>
    <row r="53" spans="1:17" ht="35.25">
      <c r="B53" s="33" t="s">
        <v>115</v>
      </c>
      <c r="C53" s="33"/>
      <c r="D53" s="29" t="s">
        <v>131</v>
      </c>
      <c r="E53" s="29" t="s">
        <v>131</v>
      </c>
      <c r="F53" s="29" t="s">
        <v>131</v>
      </c>
      <c r="G53" s="29" t="s">
        <v>131</v>
      </c>
      <c r="H53" s="29" t="s">
        <v>131</v>
      </c>
      <c r="I53" s="31">
        <f>I54</f>
        <v>465</v>
      </c>
      <c r="J53" s="31">
        <f>J54</f>
        <v>424.6</v>
      </c>
      <c r="K53" s="31">
        <f>K54</f>
        <v>175.8</v>
      </c>
      <c r="L53" s="34">
        <f>L54</f>
        <v>26</v>
      </c>
      <c r="M53" s="29" t="s">
        <v>131</v>
      </c>
      <c r="N53" s="29" t="s">
        <v>131</v>
      </c>
      <c r="O53" s="30">
        <v>89459.11</v>
      </c>
      <c r="P53" s="30">
        <f t="shared" si="0"/>
        <v>192.38518279569894</v>
      </c>
      <c r="Q53" s="37">
        <f>MAX(Q54)</f>
        <v>192.38518279569894</v>
      </c>
    </row>
    <row r="54" spans="1:17" ht="35.25">
      <c r="A54" s="1">
        <v>1</v>
      </c>
      <c r="B54" s="28">
        <f>SUBTOTAL(103,$A$17:A54)</f>
        <v>26</v>
      </c>
      <c r="C54" s="33" t="s">
        <v>196</v>
      </c>
      <c r="D54" s="29">
        <v>1953</v>
      </c>
      <c r="E54" s="29"/>
      <c r="F54" s="29" t="s">
        <v>48</v>
      </c>
      <c r="G54" s="29" t="s">
        <v>56</v>
      </c>
      <c r="H54" s="29" t="s">
        <v>57</v>
      </c>
      <c r="I54" s="31">
        <v>465</v>
      </c>
      <c r="J54" s="31">
        <v>424.6</v>
      </c>
      <c r="K54" s="31">
        <f>J54-248.8</f>
        <v>175.8</v>
      </c>
      <c r="L54" s="34">
        <v>26</v>
      </c>
      <c r="M54" s="29" t="s">
        <v>47</v>
      </c>
      <c r="N54" s="29" t="s">
        <v>49</v>
      </c>
      <c r="O54" s="30">
        <v>89459.11</v>
      </c>
      <c r="P54" s="30">
        <f t="shared" si="0"/>
        <v>192.38518279569894</v>
      </c>
      <c r="Q54" s="37">
        <v>192.38518279569894</v>
      </c>
    </row>
    <row r="55" spans="1:17" ht="35.25">
      <c r="B55" s="33" t="s">
        <v>119</v>
      </c>
      <c r="C55" s="33"/>
      <c r="D55" s="29" t="s">
        <v>131</v>
      </c>
      <c r="E55" s="29" t="s">
        <v>131</v>
      </c>
      <c r="F55" s="29" t="s">
        <v>131</v>
      </c>
      <c r="G55" s="29" t="s">
        <v>131</v>
      </c>
      <c r="H55" s="29" t="s">
        <v>131</v>
      </c>
      <c r="I55" s="31">
        <f>I56</f>
        <v>861.5</v>
      </c>
      <c r="J55" s="31">
        <f>J56</f>
        <v>861.5</v>
      </c>
      <c r="K55" s="31">
        <f>K56</f>
        <v>816.5</v>
      </c>
      <c r="L55" s="34">
        <f>L56</f>
        <v>31</v>
      </c>
      <c r="M55" s="29" t="s">
        <v>131</v>
      </c>
      <c r="N55" s="29" t="s">
        <v>131</v>
      </c>
      <c r="O55" s="30">
        <v>3168456.39</v>
      </c>
      <c r="P55" s="30">
        <f t="shared" si="0"/>
        <v>3677.8367846778874</v>
      </c>
      <c r="Q55" s="37">
        <f>MAX(Q56)</f>
        <v>6329.4339408009282</v>
      </c>
    </row>
    <row r="56" spans="1:17" ht="35.25">
      <c r="A56" s="1">
        <v>1</v>
      </c>
      <c r="B56" s="28">
        <f>SUBTOTAL(103,$A$17:A56)</f>
        <v>27</v>
      </c>
      <c r="C56" s="33" t="s">
        <v>199</v>
      </c>
      <c r="D56" s="29">
        <v>1980</v>
      </c>
      <c r="E56" s="29"/>
      <c r="F56" s="29" t="s">
        <v>48</v>
      </c>
      <c r="G56" s="29" t="s">
        <v>56</v>
      </c>
      <c r="H56" s="29" t="s">
        <v>61</v>
      </c>
      <c r="I56" s="31">
        <v>861.5</v>
      </c>
      <c r="J56" s="31">
        <v>861.5</v>
      </c>
      <c r="K56" s="31">
        <f>J56-45</f>
        <v>816.5</v>
      </c>
      <c r="L56" s="34">
        <v>31</v>
      </c>
      <c r="M56" s="29" t="s">
        <v>50</v>
      </c>
      <c r="N56" s="29" t="s">
        <v>52</v>
      </c>
      <c r="O56" s="30">
        <v>3168456.39</v>
      </c>
      <c r="P56" s="30">
        <f t="shared" si="0"/>
        <v>3677.8367846778874</v>
      </c>
      <c r="Q56" s="37">
        <v>6329.4339408009282</v>
      </c>
    </row>
    <row r="57" spans="1:17" ht="35.25">
      <c r="B57" s="33" t="s">
        <v>121</v>
      </c>
      <c r="C57" s="33"/>
      <c r="D57" s="29" t="s">
        <v>131</v>
      </c>
      <c r="E57" s="29" t="s">
        <v>131</v>
      </c>
      <c r="F57" s="29" t="s">
        <v>131</v>
      </c>
      <c r="G57" s="29" t="s">
        <v>131</v>
      </c>
      <c r="H57" s="29" t="s">
        <v>131</v>
      </c>
      <c r="I57" s="31">
        <f>I59+I58+I60</f>
        <v>2249.1999999999998</v>
      </c>
      <c r="J57" s="31">
        <f>J59+J58+J60</f>
        <v>2068.4</v>
      </c>
      <c r="K57" s="31">
        <f>K59+K58+K60</f>
        <v>2023.6000000000001</v>
      </c>
      <c r="L57" s="34">
        <f>L59+L58+L60</f>
        <v>104</v>
      </c>
      <c r="M57" s="29" t="s">
        <v>131</v>
      </c>
      <c r="N57" s="29" t="s">
        <v>131</v>
      </c>
      <c r="O57" s="30">
        <v>4966030.97</v>
      </c>
      <c r="P57" s="30">
        <f t="shared" si="0"/>
        <v>2207.9099101902898</v>
      </c>
      <c r="Q57" s="37">
        <f>MAX(Q58:Q60)</f>
        <v>5971.1412207084468</v>
      </c>
    </row>
    <row r="58" spans="1:17" ht="35.25">
      <c r="A58" s="1">
        <v>1</v>
      </c>
      <c r="B58" s="28">
        <f>SUBTOTAL(103,$A$17:A58)</f>
        <v>28</v>
      </c>
      <c r="C58" s="33" t="s">
        <v>231</v>
      </c>
      <c r="D58" s="29">
        <v>1980</v>
      </c>
      <c r="E58" s="29"/>
      <c r="F58" s="29" t="s">
        <v>63</v>
      </c>
      <c r="G58" s="29" t="s">
        <v>61</v>
      </c>
      <c r="H58" s="29" t="s">
        <v>61</v>
      </c>
      <c r="I58" s="31">
        <v>1481.6</v>
      </c>
      <c r="J58" s="31">
        <v>1361.4</v>
      </c>
      <c r="K58" s="31">
        <v>1361.4</v>
      </c>
      <c r="L58" s="34">
        <v>70</v>
      </c>
      <c r="M58" s="29" t="s">
        <v>47</v>
      </c>
      <c r="N58" s="29" t="s">
        <v>49</v>
      </c>
      <c r="O58" s="30">
        <v>1924066.04</v>
      </c>
      <c r="P58" s="30">
        <f t="shared" si="0"/>
        <v>1298.6406857451404</v>
      </c>
      <c r="Q58" s="37">
        <v>2408.1451476781858</v>
      </c>
    </row>
    <row r="59" spans="1:17" ht="35.25">
      <c r="A59" s="1">
        <v>1</v>
      </c>
      <c r="B59" s="28">
        <f>SUBTOTAL(103,$A$17:A59)</f>
        <v>29</v>
      </c>
      <c r="C59" s="33" t="s">
        <v>197</v>
      </c>
      <c r="D59" s="29">
        <v>1970</v>
      </c>
      <c r="E59" s="29"/>
      <c r="F59" s="29" t="s">
        <v>48</v>
      </c>
      <c r="G59" s="29" t="s">
        <v>56</v>
      </c>
      <c r="H59" s="29" t="s">
        <v>57</v>
      </c>
      <c r="I59" s="31">
        <v>403.7</v>
      </c>
      <c r="J59" s="31">
        <v>373</v>
      </c>
      <c r="K59" s="31">
        <f>J59-44.8</f>
        <v>328.2</v>
      </c>
      <c r="L59" s="34">
        <v>20</v>
      </c>
      <c r="M59" s="29" t="s">
        <v>47</v>
      </c>
      <c r="N59" s="29" t="s">
        <v>49</v>
      </c>
      <c r="O59" s="30">
        <v>1650932.93</v>
      </c>
      <c r="P59" s="30">
        <f t="shared" si="0"/>
        <v>4089.5044092147632</v>
      </c>
      <c r="Q59" s="37">
        <v>5971.1412207084468</v>
      </c>
    </row>
    <row r="60" spans="1:17" ht="35.25">
      <c r="A60" s="1">
        <v>1</v>
      </c>
      <c r="B60" s="28">
        <f>SUBTOTAL(103,$A$17:A60)</f>
        <v>30</v>
      </c>
      <c r="C60" s="33" t="s">
        <v>31</v>
      </c>
      <c r="D60" s="29">
        <v>1968</v>
      </c>
      <c r="E60" s="29"/>
      <c r="F60" s="29" t="s">
        <v>48</v>
      </c>
      <c r="G60" s="29" t="s">
        <v>56</v>
      </c>
      <c r="H60" s="29" t="s">
        <v>57</v>
      </c>
      <c r="I60" s="31">
        <v>363.9</v>
      </c>
      <c r="J60" s="31">
        <v>334</v>
      </c>
      <c r="K60" s="31">
        <v>334</v>
      </c>
      <c r="L60" s="34">
        <v>14</v>
      </c>
      <c r="M60" s="29" t="s">
        <v>47</v>
      </c>
      <c r="N60" s="29" t="s">
        <v>49</v>
      </c>
      <c r="O60" s="30">
        <v>1391032.0000000002</v>
      </c>
      <c r="P60" s="30">
        <f t="shared" si="0"/>
        <v>3822.5666391865907</v>
      </c>
      <c r="Q60" s="37">
        <v>5296.8157309700464</v>
      </c>
    </row>
    <row r="61" spans="1:17" ht="35.25">
      <c r="B61" s="33" t="s">
        <v>120</v>
      </c>
      <c r="C61" s="33"/>
      <c r="D61" s="29" t="s">
        <v>131</v>
      </c>
      <c r="E61" s="29" t="s">
        <v>131</v>
      </c>
      <c r="F61" s="29" t="s">
        <v>131</v>
      </c>
      <c r="G61" s="29" t="s">
        <v>131</v>
      </c>
      <c r="H61" s="29" t="s">
        <v>131</v>
      </c>
      <c r="I61" s="31">
        <f>I62</f>
        <v>940.4</v>
      </c>
      <c r="J61" s="31">
        <f>J62</f>
        <v>940.4</v>
      </c>
      <c r="K61" s="31">
        <f>K62</f>
        <v>940.4</v>
      </c>
      <c r="L61" s="34">
        <f>L62</f>
        <v>26</v>
      </c>
      <c r="M61" s="29" t="s">
        <v>131</v>
      </c>
      <c r="N61" s="29" t="s">
        <v>131</v>
      </c>
      <c r="O61" s="30">
        <v>1661171.06</v>
      </c>
      <c r="P61" s="30">
        <f t="shared" si="0"/>
        <v>1766.4515737983838</v>
      </c>
      <c r="Q61" s="37">
        <f>MAX(Q62)</f>
        <v>3625.3215328583583</v>
      </c>
    </row>
    <row r="62" spans="1:17" ht="35.25">
      <c r="A62" s="1">
        <v>1</v>
      </c>
      <c r="B62" s="28">
        <f>SUBTOTAL(103,$A$17:A62)</f>
        <v>31</v>
      </c>
      <c r="C62" s="33" t="s">
        <v>226</v>
      </c>
      <c r="D62" s="29">
        <v>1987</v>
      </c>
      <c r="E62" s="29"/>
      <c r="F62" s="29" t="s">
        <v>48</v>
      </c>
      <c r="G62" s="29" t="s">
        <v>56</v>
      </c>
      <c r="H62" s="29" t="s">
        <v>56</v>
      </c>
      <c r="I62" s="31">
        <v>940.4</v>
      </c>
      <c r="J62" s="31">
        <v>940.4</v>
      </c>
      <c r="K62" s="31">
        <f>J62</f>
        <v>940.4</v>
      </c>
      <c r="L62" s="34">
        <v>26</v>
      </c>
      <c r="M62" s="29" t="s">
        <v>50</v>
      </c>
      <c r="N62" s="29" t="s">
        <v>228</v>
      </c>
      <c r="O62" s="30">
        <v>1661171.06</v>
      </c>
      <c r="P62" s="30">
        <f t="shared" si="0"/>
        <v>1766.4515737983838</v>
      </c>
      <c r="Q62" s="37">
        <v>3625.3215328583583</v>
      </c>
    </row>
    <row r="63" spans="1:17" ht="35.25">
      <c r="B63" s="104" t="s">
        <v>106</v>
      </c>
      <c r="C63" s="33"/>
      <c r="D63" s="29" t="s">
        <v>131</v>
      </c>
      <c r="E63" s="29" t="s">
        <v>131</v>
      </c>
      <c r="F63" s="29" t="s">
        <v>131</v>
      </c>
      <c r="G63" s="29" t="s">
        <v>131</v>
      </c>
      <c r="H63" s="29" t="s">
        <v>131</v>
      </c>
      <c r="I63" s="31">
        <f>I64</f>
        <v>1743.7</v>
      </c>
      <c r="J63" s="31">
        <f>J64</f>
        <v>1552.6</v>
      </c>
      <c r="K63" s="31">
        <f>K64</f>
        <v>1552.6</v>
      </c>
      <c r="L63" s="34">
        <f>L64</f>
        <v>65</v>
      </c>
      <c r="M63" s="29" t="s">
        <v>131</v>
      </c>
      <c r="N63" s="29" t="s">
        <v>131</v>
      </c>
      <c r="O63" s="30">
        <v>119901.4</v>
      </c>
      <c r="P63" s="30">
        <f t="shared" si="0"/>
        <v>68.762631186557314</v>
      </c>
      <c r="Q63" s="37">
        <f>MAX(Q64)</f>
        <v>68.762631186557314</v>
      </c>
    </row>
    <row r="64" spans="1:17" ht="35.25">
      <c r="A64" s="1">
        <v>1</v>
      </c>
      <c r="B64" s="28">
        <f>SUBTOTAL(103,$A$17:A64)</f>
        <v>32</v>
      </c>
      <c r="C64" s="33" t="s">
        <v>255</v>
      </c>
      <c r="D64" s="29">
        <v>1978</v>
      </c>
      <c r="E64" s="29"/>
      <c r="F64" s="29" t="s">
        <v>48</v>
      </c>
      <c r="G64" s="29" t="s">
        <v>61</v>
      </c>
      <c r="H64" s="29" t="s">
        <v>61</v>
      </c>
      <c r="I64" s="31">
        <v>1743.7</v>
      </c>
      <c r="J64" s="31">
        <v>1552.6</v>
      </c>
      <c r="K64" s="31">
        <f>J64</f>
        <v>1552.6</v>
      </c>
      <c r="L64" s="34">
        <v>65</v>
      </c>
      <c r="M64" s="29" t="s">
        <v>50</v>
      </c>
      <c r="N64" s="29" t="s">
        <v>95</v>
      </c>
      <c r="O64" s="30">
        <v>119901.4</v>
      </c>
      <c r="P64" s="30">
        <f t="shared" si="0"/>
        <v>68.762631186557314</v>
      </c>
      <c r="Q64" s="37">
        <v>68.762631186557314</v>
      </c>
    </row>
    <row r="65" spans="1:17" ht="35.25">
      <c r="B65" s="104" t="s">
        <v>125</v>
      </c>
      <c r="C65" s="33"/>
      <c r="D65" s="29" t="s">
        <v>131</v>
      </c>
      <c r="E65" s="29" t="s">
        <v>131</v>
      </c>
      <c r="F65" s="29" t="s">
        <v>131</v>
      </c>
      <c r="G65" s="29" t="s">
        <v>131</v>
      </c>
      <c r="H65" s="29" t="s">
        <v>131</v>
      </c>
      <c r="I65" s="31">
        <f>I66</f>
        <v>1105.0999999999999</v>
      </c>
      <c r="J65" s="31">
        <f>J66</f>
        <v>953.3</v>
      </c>
      <c r="K65" s="31">
        <f>K66</f>
        <v>870.1</v>
      </c>
      <c r="L65" s="34">
        <f>L66</f>
        <v>44</v>
      </c>
      <c r="M65" s="29" t="s">
        <v>131</v>
      </c>
      <c r="N65" s="29" t="s">
        <v>131</v>
      </c>
      <c r="O65" s="30">
        <v>603261.75</v>
      </c>
      <c r="P65" s="30">
        <f t="shared" si="0"/>
        <v>545.88883358972043</v>
      </c>
      <c r="Q65" s="37">
        <f>MAX(Q66)</f>
        <v>795.31</v>
      </c>
    </row>
    <row r="66" spans="1:17" ht="35.25">
      <c r="A66" s="1">
        <v>1</v>
      </c>
      <c r="B66" s="28">
        <f>SUBTOTAL(103,$A$17:A66)</f>
        <v>33</v>
      </c>
      <c r="C66" s="33" t="s">
        <v>256</v>
      </c>
      <c r="D66" s="29">
        <v>1979</v>
      </c>
      <c r="E66" s="29"/>
      <c r="F66" s="29" t="s">
        <v>48</v>
      </c>
      <c r="G66" s="29" t="s">
        <v>56</v>
      </c>
      <c r="H66" s="29" t="s">
        <v>61</v>
      </c>
      <c r="I66" s="31">
        <v>1105.0999999999999</v>
      </c>
      <c r="J66" s="31">
        <v>953.3</v>
      </c>
      <c r="K66" s="31">
        <v>870.1</v>
      </c>
      <c r="L66" s="34">
        <v>44</v>
      </c>
      <c r="M66" s="29" t="s">
        <v>50</v>
      </c>
      <c r="N66" s="29" t="s">
        <v>245</v>
      </c>
      <c r="O66" s="30">
        <v>603261.75</v>
      </c>
      <c r="P66" s="30">
        <f t="shared" si="0"/>
        <v>545.88883358972043</v>
      </c>
      <c r="Q66" s="37">
        <v>795.31</v>
      </c>
    </row>
    <row r="67" spans="1:17" ht="35.25">
      <c r="B67" s="32" t="s">
        <v>580</v>
      </c>
      <c r="C67" s="103"/>
      <c r="D67" s="29" t="s">
        <v>131</v>
      </c>
      <c r="E67" s="29" t="s">
        <v>131</v>
      </c>
      <c r="F67" s="29" t="s">
        <v>131</v>
      </c>
      <c r="G67" s="29" t="s">
        <v>131</v>
      </c>
      <c r="H67" s="29" t="s">
        <v>131</v>
      </c>
      <c r="I67" s="31">
        <f>I68+I72+I74+I76+I80+I82+I84+I86</f>
        <v>9357.5</v>
      </c>
      <c r="J67" s="31">
        <f t="shared" ref="J67:L67" si="1">J68+J72+J74+J76+J80+J82+J84+J86</f>
        <v>7976.1</v>
      </c>
      <c r="K67" s="31">
        <f t="shared" si="1"/>
        <v>7286.1</v>
      </c>
      <c r="L67" s="34">
        <f t="shared" si="1"/>
        <v>424</v>
      </c>
      <c r="M67" s="29" t="s">
        <v>131</v>
      </c>
      <c r="N67" s="29" t="s">
        <v>131</v>
      </c>
      <c r="O67" s="31">
        <v>30227457.809999999</v>
      </c>
      <c r="P67" s="30">
        <f>O67/I67</f>
        <v>3230.2920448837831</v>
      </c>
      <c r="Q67" s="37">
        <f>MAX(Q68:Q87)</f>
        <v>6475.5372049661391</v>
      </c>
    </row>
    <row r="68" spans="1:17" ht="35.25">
      <c r="B68" s="33" t="s">
        <v>209</v>
      </c>
      <c r="C68" s="33"/>
      <c r="D68" s="29" t="s">
        <v>131</v>
      </c>
      <c r="E68" s="29" t="s">
        <v>131</v>
      </c>
      <c r="F68" s="29" t="s">
        <v>131</v>
      </c>
      <c r="G68" s="29" t="s">
        <v>131</v>
      </c>
      <c r="H68" s="29" t="s">
        <v>131</v>
      </c>
      <c r="I68" s="31">
        <f>SUM(I69:I71)</f>
        <v>1180.5999999999999</v>
      </c>
      <c r="J68" s="31">
        <f>SUM(J69:J71)</f>
        <v>1060.7</v>
      </c>
      <c r="K68" s="31">
        <f>SUM(K69:K71)</f>
        <v>932.7</v>
      </c>
      <c r="L68" s="34">
        <f>SUM(L69:L71)</f>
        <v>60</v>
      </c>
      <c r="M68" s="29" t="s">
        <v>131</v>
      </c>
      <c r="N68" s="29" t="s">
        <v>131</v>
      </c>
      <c r="O68" s="30">
        <v>5103149.49</v>
      </c>
      <c r="P68" s="30">
        <f t="shared" ref="P68:P87" si="2">O68/I68</f>
        <v>4322.5050736913436</v>
      </c>
      <c r="Q68" s="37">
        <f>MAX(Q69:Q71)</f>
        <v>6475.5372049661391</v>
      </c>
    </row>
    <row r="69" spans="1:17" ht="35.25">
      <c r="A69" s="1">
        <v>1</v>
      </c>
      <c r="B69" s="28">
        <f>SUBTOTAL(103,$A$68:A69)</f>
        <v>1</v>
      </c>
      <c r="C69" s="33" t="s">
        <v>185</v>
      </c>
      <c r="D69" s="29">
        <v>1961</v>
      </c>
      <c r="E69" s="29"/>
      <c r="F69" s="29" t="s">
        <v>48</v>
      </c>
      <c r="G69" s="29" t="s">
        <v>56</v>
      </c>
      <c r="H69" s="29" t="s">
        <v>57</v>
      </c>
      <c r="I69" s="31">
        <v>301.39999999999998</v>
      </c>
      <c r="J69" s="31">
        <v>276.5</v>
      </c>
      <c r="K69" s="31">
        <f>J69-38</f>
        <v>238.5</v>
      </c>
      <c r="L69" s="34">
        <v>16</v>
      </c>
      <c r="M69" s="29" t="s">
        <v>50</v>
      </c>
      <c r="N69" s="29" t="s">
        <v>171</v>
      </c>
      <c r="O69" s="30">
        <v>1063050</v>
      </c>
      <c r="P69" s="30">
        <f t="shared" si="2"/>
        <v>3527.0404777704052</v>
      </c>
      <c r="Q69" s="37">
        <v>5319.8403118779033</v>
      </c>
    </row>
    <row r="70" spans="1:17" ht="35.25">
      <c r="A70" s="1">
        <v>1</v>
      </c>
      <c r="B70" s="28">
        <f>SUBTOTAL(103,$A$68:A70)</f>
        <v>2</v>
      </c>
      <c r="C70" s="27" t="s">
        <v>233</v>
      </c>
      <c r="D70" s="29">
        <v>1956</v>
      </c>
      <c r="E70" s="29"/>
      <c r="F70" s="29" t="s">
        <v>48</v>
      </c>
      <c r="G70" s="29" t="s">
        <v>56</v>
      </c>
      <c r="H70" s="29" t="s">
        <v>57</v>
      </c>
      <c r="I70" s="31">
        <v>443</v>
      </c>
      <c r="J70" s="31">
        <v>397.1</v>
      </c>
      <c r="K70" s="31">
        <v>353.4</v>
      </c>
      <c r="L70" s="34">
        <v>24</v>
      </c>
      <c r="M70" s="29" t="s">
        <v>50</v>
      </c>
      <c r="N70" s="29" t="s">
        <v>229</v>
      </c>
      <c r="O70" s="30">
        <v>2595067.46</v>
      </c>
      <c r="P70" s="30">
        <f t="shared" si="2"/>
        <v>5857.940090293454</v>
      </c>
      <c r="Q70" s="37">
        <v>6475.5372049661391</v>
      </c>
    </row>
    <row r="71" spans="1:17" ht="35.25">
      <c r="A71" s="1">
        <v>1</v>
      </c>
      <c r="B71" s="28">
        <f>SUBTOTAL(103,$A$68:A71)</f>
        <v>3</v>
      </c>
      <c r="C71" s="27" t="s">
        <v>253</v>
      </c>
      <c r="D71" s="29">
        <v>1957</v>
      </c>
      <c r="E71" s="29"/>
      <c r="F71" s="29" t="s">
        <v>48</v>
      </c>
      <c r="G71" s="29" t="s">
        <v>56</v>
      </c>
      <c r="H71" s="29" t="s">
        <v>57</v>
      </c>
      <c r="I71" s="31">
        <v>436.2</v>
      </c>
      <c r="J71" s="31">
        <v>387.1</v>
      </c>
      <c r="K71" s="31">
        <v>340.8</v>
      </c>
      <c r="L71" s="34">
        <v>20</v>
      </c>
      <c r="M71" s="29" t="s">
        <v>50</v>
      </c>
      <c r="N71" s="29" t="s">
        <v>254</v>
      </c>
      <c r="O71" s="30">
        <v>1445032.0299999998</v>
      </c>
      <c r="P71" s="30">
        <f t="shared" si="2"/>
        <v>3312.774025676295</v>
      </c>
      <c r="Q71" s="37">
        <v>5362.5734211370936</v>
      </c>
    </row>
    <row r="72" spans="1:17" ht="35.25">
      <c r="B72" s="33" t="s">
        <v>101</v>
      </c>
      <c r="C72" s="33"/>
      <c r="D72" s="29" t="s">
        <v>131</v>
      </c>
      <c r="E72" s="29" t="s">
        <v>131</v>
      </c>
      <c r="F72" s="29" t="s">
        <v>131</v>
      </c>
      <c r="G72" s="29" t="s">
        <v>131</v>
      </c>
      <c r="H72" s="29" t="s">
        <v>131</v>
      </c>
      <c r="I72" s="31">
        <f>I73</f>
        <v>366.5</v>
      </c>
      <c r="J72" s="31">
        <f>J73</f>
        <v>336.9</v>
      </c>
      <c r="K72" s="31">
        <f>K73</f>
        <v>336.9</v>
      </c>
      <c r="L72" s="34">
        <f>L73</f>
        <v>25</v>
      </c>
      <c r="M72" s="29" t="s">
        <v>131</v>
      </c>
      <c r="N72" s="29" t="s">
        <v>131</v>
      </c>
      <c r="O72" s="30">
        <v>1450562.89</v>
      </c>
      <c r="P72" s="30">
        <f t="shared" si="2"/>
        <v>3957.8796452933148</v>
      </c>
      <c r="Q72" s="37">
        <f>Q73</f>
        <v>4984.3188212824007</v>
      </c>
    </row>
    <row r="73" spans="1:17" ht="35.25">
      <c r="A73" s="1">
        <v>1</v>
      </c>
      <c r="B73" s="28">
        <f>SUBTOTAL(103,$A$68:A73)</f>
        <v>4</v>
      </c>
      <c r="C73" s="33" t="s">
        <v>186</v>
      </c>
      <c r="D73" s="29">
        <v>1971</v>
      </c>
      <c r="E73" s="29"/>
      <c r="F73" s="29" t="s">
        <v>48</v>
      </c>
      <c r="G73" s="29" t="s">
        <v>56</v>
      </c>
      <c r="H73" s="29" t="s">
        <v>57</v>
      </c>
      <c r="I73" s="31">
        <v>366.5</v>
      </c>
      <c r="J73" s="31">
        <v>336.9</v>
      </c>
      <c r="K73" s="31">
        <f>J73</f>
        <v>336.9</v>
      </c>
      <c r="L73" s="34">
        <f t="shared" ref="L73:L74" si="3">L74</f>
        <v>25</v>
      </c>
      <c r="M73" s="29" t="s">
        <v>50</v>
      </c>
      <c r="N73" s="29" t="s">
        <v>69</v>
      </c>
      <c r="O73" s="30">
        <v>1450562.89</v>
      </c>
      <c r="P73" s="30">
        <f t="shared" si="2"/>
        <v>3957.8796452933148</v>
      </c>
      <c r="Q73" s="37">
        <v>4984.3188212824007</v>
      </c>
    </row>
    <row r="74" spans="1:17" ht="35.25">
      <c r="B74" s="33" t="s">
        <v>210</v>
      </c>
      <c r="C74" s="33"/>
      <c r="D74" s="29" t="s">
        <v>131</v>
      </c>
      <c r="E74" s="29" t="s">
        <v>131</v>
      </c>
      <c r="F74" s="29" t="s">
        <v>131</v>
      </c>
      <c r="G74" s="29" t="s">
        <v>131</v>
      </c>
      <c r="H74" s="29" t="s">
        <v>131</v>
      </c>
      <c r="I74" s="31">
        <f>I75</f>
        <v>410.7</v>
      </c>
      <c r="J74" s="31">
        <f t="shared" ref="J74:K74" si="4">J75</f>
        <v>379.6</v>
      </c>
      <c r="K74" s="31">
        <f t="shared" si="4"/>
        <v>379.6</v>
      </c>
      <c r="L74" s="34">
        <f t="shared" si="3"/>
        <v>25</v>
      </c>
      <c r="M74" s="29" t="s">
        <v>131</v>
      </c>
      <c r="N74" s="29" t="s">
        <v>131</v>
      </c>
      <c r="O74" s="30">
        <v>2607490.21</v>
      </c>
      <c r="P74" s="30">
        <f t="shared" si="2"/>
        <v>6348.892646700755</v>
      </c>
      <c r="Q74" s="37">
        <f>Q75</f>
        <v>6348.892646700755</v>
      </c>
    </row>
    <row r="75" spans="1:17" ht="35.25">
      <c r="A75" s="1">
        <v>1</v>
      </c>
      <c r="B75" s="28">
        <f>SUBTOTAL(103,$A$68:A75)</f>
        <v>5</v>
      </c>
      <c r="C75" s="33" t="s">
        <v>581</v>
      </c>
      <c r="D75" s="29">
        <v>1997</v>
      </c>
      <c r="E75" s="29"/>
      <c r="F75" s="29" t="s">
        <v>48</v>
      </c>
      <c r="G75" s="29">
        <v>2</v>
      </c>
      <c r="H75" s="29">
        <v>1</v>
      </c>
      <c r="I75" s="31">
        <v>410.7</v>
      </c>
      <c r="J75" s="31">
        <v>379.6</v>
      </c>
      <c r="K75" s="31">
        <v>379.6</v>
      </c>
      <c r="L75" s="34">
        <v>25</v>
      </c>
      <c r="M75" s="29" t="s">
        <v>47</v>
      </c>
      <c r="N75" s="29" t="s">
        <v>49</v>
      </c>
      <c r="O75" s="30">
        <v>2607490.21</v>
      </c>
      <c r="P75" s="30">
        <f>O75/I75</f>
        <v>6348.892646700755</v>
      </c>
      <c r="Q75" s="37">
        <v>6348.892646700755</v>
      </c>
    </row>
    <row r="76" spans="1:17" ht="35.25">
      <c r="B76" s="33" t="s">
        <v>91</v>
      </c>
      <c r="C76" s="33"/>
      <c r="D76" s="29" t="s">
        <v>131</v>
      </c>
      <c r="E76" s="29" t="s">
        <v>131</v>
      </c>
      <c r="F76" s="29" t="s">
        <v>131</v>
      </c>
      <c r="G76" s="29" t="s">
        <v>131</v>
      </c>
      <c r="H76" s="29" t="s">
        <v>131</v>
      </c>
      <c r="I76" s="31">
        <f>I77+I78+I79</f>
        <v>2093.1</v>
      </c>
      <c r="J76" s="31">
        <f>J77+J78+J79</f>
        <v>1649</v>
      </c>
      <c r="K76" s="31">
        <f>K77+K78+K79</f>
        <v>1480.6</v>
      </c>
      <c r="L76" s="34">
        <f>L77+L78+L79</f>
        <v>110</v>
      </c>
      <c r="M76" s="29" t="s">
        <v>131</v>
      </c>
      <c r="N76" s="29" t="s">
        <v>131</v>
      </c>
      <c r="O76" s="30">
        <v>6196990.8700000001</v>
      </c>
      <c r="P76" s="30">
        <f t="shared" si="2"/>
        <v>2960.6759686589271</v>
      </c>
      <c r="Q76" s="37">
        <f>MAX(Q77:Q79)</f>
        <v>5402.89606</v>
      </c>
    </row>
    <row r="77" spans="1:17" ht="35.25">
      <c r="A77" s="1">
        <v>1</v>
      </c>
      <c r="B77" s="28">
        <f>SUBTOTAL(103,$A$68:A77)</f>
        <v>6</v>
      </c>
      <c r="C77" s="33" t="s">
        <v>190</v>
      </c>
      <c r="D77" s="29">
        <v>1960</v>
      </c>
      <c r="E77" s="29"/>
      <c r="F77" s="29" t="s">
        <v>48</v>
      </c>
      <c r="G77" s="29" t="s">
        <v>56</v>
      </c>
      <c r="H77" s="29" t="s">
        <v>57</v>
      </c>
      <c r="I77" s="31">
        <v>306.60000000000002</v>
      </c>
      <c r="J77" s="31">
        <v>285.60000000000002</v>
      </c>
      <c r="K77" s="31">
        <f>J77-33.2</f>
        <v>252.40000000000003</v>
      </c>
      <c r="L77" s="34">
        <v>21</v>
      </c>
      <c r="M77" s="29" t="s">
        <v>47</v>
      </c>
      <c r="N77" s="29" t="s">
        <v>49</v>
      </c>
      <c r="O77" s="30">
        <v>1096190.8700000001</v>
      </c>
      <c r="P77" s="30">
        <f t="shared" si="2"/>
        <v>3575.3126875407697</v>
      </c>
      <c r="Q77" s="37">
        <v>4198.7498023483367</v>
      </c>
    </row>
    <row r="78" spans="1:17" ht="35.25">
      <c r="A78" s="1">
        <v>1</v>
      </c>
      <c r="B78" s="28">
        <f>SUBTOTAL(103,$A$68:A78)</f>
        <v>7</v>
      </c>
      <c r="C78" s="33" t="s">
        <v>93</v>
      </c>
      <c r="D78" s="29">
        <v>1960</v>
      </c>
      <c r="E78" s="29"/>
      <c r="F78" s="29" t="s">
        <v>48</v>
      </c>
      <c r="G78" s="29" t="s">
        <v>61</v>
      </c>
      <c r="H78" s="29" t="s">
        <v>56</v>
      </c>
      <c r="I78" s="31">
        <v>1286.5</v>
      </c>
      <c r="J78" s="31">
        <v>881.8</v>
      </c>
      <c r="K78" s="31">
        <f>J78-65.9</f>
        <v>815.9</v>
      </c>
      <c r="L78" s="34">
        <v>39</v>
      </c>
      <c r="M78" s="29" t="s">
        <v>47</v>
      </c>
      <c r="N78" s="29" t="s">
        <v>49</v>
      </c>
      <c r="O78" s="30">
        <v>2664800</v>
      </c>
      <c r="P78" s="30">
        <f t="shared" si="2"/>
        <v>2071.3563933151963</v>
      </c>
      <c r="Q78" s="37">
        <v>2793.3246482705013</v>
      </c>
    </row>
    <row r="79" spans="1:17" ht="35.25">
      <c r="A79" s="1">
        <v>1</v>
      </c>
      <c r="B79" s="28">
        <f>SUBTOTAL(103,$A$68:A79)</f>
        <v>8</v>
      </c>
      <c r="C79" s="33" t="s">
        <v>92</v>
      </c>
      <c r="D79" s="29">
        <v>1965</v>
      </c>
      <c r="E79" s="29"/>
      <c r="F79" s="29" t="s">
        <v>48</v>
      </c>
      <c r="G79" s="29" t="s">
        <v>56</v>
      </c>
      <c r="H79" s="29" t="s">
        <v>61</v>
      </c>
      <c r="I79" s="31">
        <v>500</v>
      </c>
      <c r="J79" s="31">
        <v>481.6</v>
      </c>
      <c r="K79" s="31">
        <f>J79-69.3</f>
        <v>412.3</v>
      </c>
      <c r="L79" s="34">
        <v>50</v>
      </c>
      <c r="M79" s="29" t="s">
        <v>47</v>
      </c>
      <c r="N79" s="29" t="s">
        <v>49</v>
      </c>
      <c r="O79" s="30">
        <v>2436000</v>
      </c>
      <c r="P79" s="30">
        <f t="shared" si="2"/>
        <v>4872</v>
      </c>
      <c r="Q79" s="37">
        <v>5402.89606</v>
      </c>
    </row>
    <row r="80" spans="1:17" ht="35.25">
      <c r="B80" s="33" t="s">
        <v>110</v>
      </c>
      <c r="C80" s="33"/>
      <c r="D80" s="29" t="s">
        <v>131</v>
      </c>
      <c r="E80" s="29" t="s">
        <v>131</v>
      </c>
      <c r="F80" s="29" t="s">
        <v>131</v>
      </c>
      <c r="G80" s="29" t="s">
        <v>131</v>
      </c>
      <c r="H80" s="29" t="s">
        <v>131</v>
      </c>
      <c r="I80" s="31">
        <f>I81</f>
        <v>1840.2</v>
      </c>
      <c r="J80" s="31">
        <f>J81</f>
        <v>1840.2</v>
      </c>
      <c r="K80" s="31">
        <f>K81</f>
        <v>1695.4</v>
      </c>
      <c r="L80" s="34">
        <f>L81</f>
        <v>77</v>
      </c>
      <c r="M80" s="29" t="s">
        <v>131</v>
      </c>
      <c r="N80" s="29" t="s">
        <v>131</v>
      </c>
      <c r="O80" s="30">
        <v>5538174.9500000002</v>
      </c>
      <c r="P80" s="30">
        <f t="shared" si="2"/>
        <v>3009.5505651559615</v>
      </c>
      <c r="Q80" s="37">
        <f>Q81</f>
        <v>3508.429102977937</v>
      </c>
    </row>
    <row r="81" spans="1:17" ht="35.25">
      <c r="A81" s="1">
        <v>1</v>
      </c>
      <c r="B81" s="28">
        <f>SUBTOTAL(103,$A$68:A81)</f>
        <v>9</v>
      </c>
      <c r="C81" s="33" t="s">
        <v>192</v>
      </c>
      <c r="D81" s="29">
        <v>1986</v>
      </c>
      <c r="E81" s="29"/>
      <c r="F81" s="29" t="s">
        <v>48</v>
      </c>
      <c r="G81" s="29" t="s">
        <v>61</v>
      </c>
      <c r="H81" s="29" t="s">
        <v>61</v>
      </c>
      <c r="I81" s="31">
        <v>1840.2</v>
      </c>
      <c r="J81" s="31">
        <v>1840.2</v>
      </c>
      <c r="K81" s="31">
        <f>J81-144.8</f>
        <v>1695.4</v>
      </c>
      <c r="L81" s="34">
        <v>77</v>
      </c>
      <c r="M81" s="29" t="s">
        <v>71</v>
      </c>
      <c r="N81" s="29" t="s">
        <v>221</v>
      </c>
      <c r="O81" s="30">
        <v>5538174.9500000002</v>
      </c>
      <c r="P81" s="30">
        <f t="shared" si="2"/>
        <v>3009.5505651559615</v>
      </c>
      <c r="Q81" s="37">
        <v>3508.429102977937</v>
      </c>
    </row>
    <row r="82" spans="1:17" ht="35.25">
      <c r="B82" s="33" t="s">
        <v>396</v>
      </c>
      <c r="C82" s="33"/>
      <c r="D82" s="29" t="s">
        <v>131</v>
      </c>
      <c r="E82" s="29" t="s">
        <v>131</v>
      </c>
      <c r="F82" s="29" t="s">
        <v>131</v>
      </c>
      <c r="G82" s="29" t="s">
        <v>131</v>
      </c>
      <c r="H82" s="29" t="s">
        <v>131</v>
      </c>
      <c r="I82" s="31">
        <f>I83</f>
        <v>1257.7</v>
      </c>
      <c r="J82" s="31">
        <f>J83</f>
        <v>732.5</v>
      </c>
      <c r="K82" s="31">
        <f>K83</f>
        <v>732.5</v>
      </c>
      <c r="L82" s="34">
        <f>L83</f>
        <v>36</v>
      </c>
      <c r="M82" s="29" t="s">
        <v>131</v>
      </c>
      <c r="N82" s="29" t="s">
        <v>131</v>
      </c>
      <c r="O82" s="30">
        <v>3672464.4</v>
      </c>
      <c r="P82" s="30">
        <f t="shared" si="2"/>
        <v>2919.9844159974555</v>
      </c>
      <c r="Q82" s="37">
        <f>Q83</f>
        <v>3296.7954090800667</v>
      </c>
    </row>
    <row r="83" spans="1:17" ht="35.25">
      <c r="A83" s="1">
        <v>1</v>
      </c>
      <c r="B83" s="28">
        <f>SUBTOTAL(103,$A$68:A83)</f>
        <v>10</v>
      </c>
      <c r="C83" s="33" t="s">
        <v>395</v>
      </c>
      <c r="D83" s="29">
        <v>1972</v>
      </c>
      <c r="E83" s="29"/>
      <c r="F83" s="29" t="s">
        <v>48</v>
      </c>
      <c r="G83" s="29" t="s">
        <v>56</v>
      </c>
      <c r="H83" s="29" t="s">
        <v>56</v>
      </c>
      <c r="I83" s="31">
        <v>1257.7</v>
      </c>
      <c r="J83" s="31">
        <v>732.5</v>
      </c>
      <c r="K83" s="31">
        <f>J83</f>
        <v>732.5</v>
      </c>
      <c r="L83" s="34">
        <v>36</v>
      </c>
      <c r="M83" s="29" t="s">
        <v>71</v>
      </c>
      <c r="N83" s="29" t="s">
        <v>397</v>
      </c>
      <c r="O83" s="30">
        <v>3672464.4</v>
      </c>
      <c r="P83" s="30">
        <f t="shared" si="2"/>
        <v>2919.9844159974555</v>
      </c>
      <c r="Q83" s="37">
        <v>3296.7954090800667</v>
      </c>
    </row>
    <row r="84" spans="1:17" ht="35.25">
      <c r="B84" s="33" t="s">
        <v>115</v>
      </c>
      <c r="C84" s="33"/>
      <c r="D84" s="29" t="s">
        <v>131</v>
      </c>
      <c r="E84" s="29" t="s">
        <v>131</v>
      </c>
      <c r="F84" s="29" t="s">
        <v>131</v>
      </c>
      <c r="G84" s="29" t="s">
        <v>131</v>
      </c>
      <c r="H84" s="29" t="s">
        <v>131</v>
      </c>
      <c r="I84" s="31">
        <f>I85</f>
        <v>465</v>
      </c>
      <c r="J84" s="31">
        <f>J85</f>
        <v>424.6</v>
      </c>
      <c r="K84" s="31">
        <f>K85</f>
        <v>175.8</v>
      </c>
      <c r="L84" s="34">
        <f>L85</f>
        <v>26</v>
      </c>
      <c r="M84" s="29" t="s">
        <v>131</v>
      </c>
      <c r="N84" s="29" t="s">
        <v>131</v>
      </c>
      <c r="O84" s="30">
        <v>2030000</v>
      </c>
      <c r="P84" s="30">
        <f t="shared" si="2"/>
        <v>4365.5913978494627</v>
      </c>
      <c r="Q84" s="37">
        <f>Q85</f>
        <v>4729.4962903225805</v>
      </c>
    </row>
    <row r="85" spans="1:17" ht="35.25">
      <c r="A85" s="1">
        <v>1</v>
      </c>
      <c r="B85" s="28">
        <f>SUBTOTAL(103,$A$68:A85)</f>
        <v>11</v>
      </c>
      <c r="C85" s="33" t="s">
        <v>196</v>
      </c>
      <c r="D85" s="29">
        <v>1953</v>
      </c>
      <c r="E85" s="29"/>
      <c r="F85" s="29" t="s">
        <v>48</v>
      </c>
      <c r="G85" s="29" t="s">
        <v>56</v>
      </c>
      <c r="H85" s="29" t="s">
        <v>57</v>
      </c>
      <c r="I85" s="31">
        <v>465</v>
      </c>
      <c r="J85" s="31">
        <v>424.6</v>
      </c>
      <c r="K85" s="31">
        <f>J85-248.8</f>
        <v>175.8</v>
      </c>
      <c r="L85" s="34">
        <v>26</v>
      </c>
      <c r="M85" s="29" t="s">
        <v>47</v>
      </c>
      <c r="N85" s="29" t="s">
        <v>49</v>
      </c>
      <c r="O85" s="30">
        <v>2030000</v>
      </c>
      <c r="P85" s="30">
        <f t="shared" si="2"/>
        <v>4365.5913978494627</v>
      </c>
      <c r="Q85" s="37">
        <v>4729.4962903225805</v>
      </c>
    </row>
    <row r="86" spans="1:17" ht="35.25">
      <c r="B86" s="104" t="s">
        <v>106</v>
      </c>
      <c r="C86" s="33"/>
      <c r="D86" s="29" t="s">
        <v>131</v>
      </c>
      <c r="E86" s="29" t="s">
        <v>131</v>
      </c>
      <c r="F86" s="29" t="s">
        <v>131</v>
      </c>
      <c r="G86" s="29" t="s">
        <v>131</v>
      </c>
      <c r="H86" s="29" t="s">
        <v>131</v>
      </c>
      <c r="I86" s="31">
        <f>I87</f>
        <v>1743.7</v>
      </c>
      <c r="J86" s="31">
        <f>J87</f>
        <v>1552.6</v>
      </c>
      <c r="K86" s="31">
        <f>K87</f>
        <v>1552.6</v>
      </c>
      <c r="L86" s="34">
        <f>L87</f>
        <v>65</v>
      </c>
      <c r="M86" s="29" t="s">
        <v>131</v>
      </c>
      <c r="N86" s="29" t="s">
        <v>131</v>
      </c>
      <c r="O86" s="30">
        <v>3628625</v>
      </c>
      <c r="P86" s="30">
        <f t="shared" si="2"/>
        <v>2080.9915696507428</v>
      </c>
      <c r="Q86" s="37">
        <f>Q87</f>
        <v>2558.250071686643</v>
      </c>
    </row>
    <row r="87" spans="1:17" ht="35.25">
      <c r="A87" s="1">
        <v>1</v>
      </c>
      <c r="B87" s="28">
        <f>SUBTOTAL(103,$A$68:A87)</f>
        <v>12</v>
      </c>
      <c r="C87" s="33" t="s">
        <v>255</v>
      </c>
      <c r="D87" s="29">
        <v>1978</v>
      </c>
      <c r="E87" s="29"/>
      <c r="F87" s="29" t="s">
        <v>48</v>
      </c>
      <c r="G87" s="29" t="s">
        <v>61</v>
      </c>
      <c r="H87" s="29" t="s">
        <v>61</v>
      </c>
      <c r="I87" s="31">
        <v>1743.7</v>
      </c>
      <c r="J87" s="31">
        <v>1552.6</v>
      </c>
      <c r="K87" s="31">
        <f>J87</f>
        <v>1552.6</v>
      </c>
      <c r="L87" s="34">
        <v>65</v>
      </c>
      <c r="M87" s="29" t="s">
        <v>50</v>
      </c>
      <c r="N87" s="29" t="s">
        <v>95</v>
      </c>
      <c r="O87" s="30">
        <v>3628625</v>
      </c>
      <c r="P87" s="30">
        <f t="shared" si="2"/>
        <v>2080.9915696507428</v>
      </c>
      <c r="Q87" s="37">
        <v>2558.250071686643</v>
      </c>
    </row>
    <row r="88" spans="1:17" ht="45.75">
      <c r="B88" s="165" t="s">
        <v>257</v>
      </c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7"/>
    </row>
    <row r="89" spans="1:17" ht="35.25">
      <c r="B89" s="105" t="s">
        <v>213</v>
      </c>
      <c r="C89" s="105"/>
      <c r="D89" s="51" t="s">
        <v>90</v>
      </c>
      <c r="E89" s="51" t="s">
        <v>90</v>
      </c>
      <c r="F89" s="52" t="s">
        <v>90</v>
      </c>
      <c r="G89" s="52" t="s">
        <v>90</v>
      </c>
      <c r="H89" s="52" t="s">
        <v>90</v>
      </c>
      <c r="I89" s="48">
        <f>I90+I99+I103+I120+I128+I133+I160+I176+I183+I186+I189+I191+I197+I199+I202+I205+I209+I211+I213+I215+I220+I222+I224+I226+I228+I230+I232+I235+I237+I241+I97+I239</f>
        <v>301139.78000000003</v>
      </c>
      <c r="J89" s="48">
        <f t="shared" ref="J89:L89" si="5">J90+J99+J103+J120+J128+J133+J160+J176+J183+J186+J189+J191+J197+J199+J202+J205+J209+J211+J213+J215+J220+J222+J224+J226+J228+J230+J232+J235+J237+J241+J97+J239</f>
        <v>251457.20000000004</v>
      </c>
      <c r="K89" s="48">
        <f t="shared" si="5"/>
        <v>223969.73999999996</v>
      </c>
      <c r="L89" s="53">
        <f t="shared" si="5"/>
        <v>12523</v>
      </c>
      <c r="M89" s="51" t="s">
        <v>131</v>
      </c>
      <c r="N89" s="54" t="s">
        <v>131</v>
      </c>
      <c r="O89" s="48">
        <v>44427726.450000018</v>
      </c>
      <c r="P89" s="48">
        <f t="shared" ref="P89:P152" si="6">O89/I89</f>
        <v>147.53190843800184</v>
      </c>
      <c r="Q89" s="48">
        <f>MAX(Q90:Q242)</f>
        <v>9874.5189134554657</v>
      </c>
    </row>
    <row r="90" spans="1:17" ht="35.25">
      <c r="B90" s="105" t="s">
        <v>96</v>
      </c>
      <c r="C90" s="105"/>
      <c r="D90" s="51" t="s">
        <v>90</v>
      </c>
      <c r="E90" s="51" t="s">
        <v>90</v>
      </c>
      <c r="F90" s="52" t="s">
        <v>90</v>
      </c>
      <c r="G90" s="51" t="s">
        <v>90</v>
      </c>
      <c r="H90" s="51" t="s">
        <v>90</v>
      </c>
      <c r="I90" s="48">
        <f>SUM(I91:I96)</f>
        <v>13682.619999999999</v>
      </c>
      <c r="J90" s="48">
        <f t="shared" ref="J90:L90" si="7">SUM(J91:J96)</f>
        <v>11157.02</v>
      </c>
      <c r="K90" s="48">
        <f t="shared" si="7"/>
        <v>10128.199999999999</v>
      </c>
      <c r="L90" s="53">
        <f t="shared" si="7"/>
        <v>744</v>
      </c>
      <c r="M90" s="51" t="s">
        <v>131</v>
      </c>
      <c r="N90" s="54" t="s">
        <v>131</v>
      </c>
      <c r="O90" s="48">
        <v>3081201.1499999994</v>
      </c>
      <c r="P90" s="48">
        <f t="shared" si="6"/>
        <v>225.19087353153122</v>
      </c>
      <c r="Q90" s="48">
        <f>MAX(Q91:Q96)</f>
        <v>3428.1349059731892</v>
      </c>
    </row>
    <row r="91" spans="1:17" ht="35.25">
      <c r="A91" s="1">
        <v>1</v>
      </c>
      <c r="B91" s="55">
        <v>1</v>
      </c>
      <c r="C91" s="56" t="s">
        <v>82</v>
      </c>
      <c r="D91" s="51">
        <v>1965</v>
      </c>
      <c r="E91" s="51"/>
      <c r="F91" s="52" t="s">
        <v>48</v>
      </c>
      <c r="G91" s="51">
        <v>5</v>
      </c>
      <c r="H91" s="51">
        <v>2</v>
      </c>
      <c r="I91" s="48">
        <v>2985.38</v>
      </c>
      <c r="J91" s="48">
        <v>2398.58</v>
      </c>
      <c r="K91" s="48">
        <v>1889.27</v>
      </c>
      <c r="L91" s="53">
        <v>202</v>
      </c>
      <c r="M91" s="51" t="s">
        <v>50</v>
      </c>
      <c r="N91" s="51" t="s">
        <v>239</v>
      </c>
      <c r="O91" s="48">
        <v>546562.15</v>
      </c>
      <c r="P91" s="48">
        <f t="shared" si="6"/>
        <v>183.07959120781945</v>
      </c>
      <c r="Q91" s="48">
        <v>1780.1095800199637</v>
      </c>
    </row>
    <row r="92" spans="1:17" ht="35.25">
      <c r="A92" s="1">
        <v>1</v>
      </c>
      <c r="B92" s="55">
        <v>2</v>
      </c>
      <c r="C92" s="56" t="s">
        <v>261</v>
      </c>
      <c r="D92" s="51">
        <v>1986</v>
      </c>
      <c r="E92" s="51"/>
      <c r="F92" s="52" t="s">
        <v>48</v>
      </c>
      <c r="G92" s="51">
        <v>4</v>
      </c>
      <c r="H92" s="51">
        <v>1</v>
      </c>
      <c r="I92" s="48">
        <v>2374.1999999999998</v>
      </c>
      <c r="J92" s="48">
        <v>1689.3</v>
      </c>
      <c r="K92" s="48">
        <v>1639.4</v>
      </c>
      <c r="L92" s="53">
        <v>151</v>
      </c>
      <c r="M92" s="51" t="s">
        <v>50</v>
      </c>
      <c r="N92" s="54" t="s">
        <v>354</v>
      </c>
      <c r="O92" s="48">
        <v>491284.57</v>
      </c>
      <c r="P92" s="48">
        <f t="shared" si="6"/>
        <v>206.92636256423219</v>
      </c>
      <c r="Q92" s="48">
        <v>2368.9568549406117</v>
      </c>
    </row>
    <row r="93" spans="1:17" ht="35.25">
      <c r="A93" s="1">
        <v>1</v>
      </c>
      <c r="B93" s="55">
        <v>3</v>
      </c>
      <c r="C93" s="56" t="s">
        <v>262</v>
      </c>
      <c r="D93" s="51">
        <v>1969</v>
      </c>
      <c r="E93" s="51"/>
      <c r="F93" s="52" t="s">
        <v>48</v>
      </c>
      <c r="G93" s="51">
        <v>5</v>
      </c>
      <c r="H93" s="51">
        <v>4</v>
      </c>
      <c r="I93" s="48">
        <v>2953.64</v>
      </c>
      <c r="J93" s="48">
        <v>2684.14</v>
      </c>
      <c r="K93" s="48">
        <v>2616.34</v>
      </c>
      <c r="L93" s="53">
        <v>107</v>
      </c>
      <c r="M93" s="51" t="s">
        <v>50</v>
      </c>
      <c r="N93" s="54" t="s">
        <v>232</v>
      </c>
      <c r="O93" s="48">
        <v>1439828.96</v>
      </c>
      <c r="P93" s="48">
        <f t="shared" si="6"/>
        <v>487.47611760404112</v>
      </c>
      <c r="Q93" s="48">
        <v>1713.0577897103235</v>
      </c>
    </row>
    <row r="94" spans="1:17" ht="35.25">
      <c r="A94" s="1">
        <v>1</v>
      </c>
      <c r="B94" s="55">
        <v>4</v>
      </c>
      <c r="C94" s="56" t="s">
        <v>263</v>
      </c>
      <c r="D94" s="51">
        <v>1928</v>
      </c>
      <c r="E94" s="51"/>
      <c r="F94" s="52" t="s">
        <v>48</v>
      </c>
      <c r="G94" s="51">
        <v>3</v>
      </c>
      <c r="H94" s="51">
        <v>2</v>
      </c>
      <c r="I94" s="48">
        <v>884.1</v>
      </c>
      <c r="J94" s="48">
        <v>763.7</v>
      </c>
      <c r="K94" s="48">
        <v>441.4</v>
      </c>
      <c r="L94" s="53">
        <v>48</v>
      </c>
      <c r="M94" s="51" t="s">
        <v>50</v>
      </c>
      <c r="N94" s="51" t="s">
        <v>355</v>
      </c>
      <c r="O94" s="48">
        <v>342298.98</v>
      </c>
      <c r="P94" s="48">
        <f t="shared" si="6"/>
        <v>387.17224295894124</v>
      </c>
      <c r="Q94" s="48">
        <v>2762.5140549711568</v>
      </c>
    </row>
    <row r="95" spans="1:17" ht="35.25">
      <c r="A95" s="1">
        <v>1</v>
      </c>
      <c r="B95" s="55">
        <v>5</v>
      </c>
      <c r="C95" s="56" t="s">
        <v>264</v>
      </c>
      <c r="D95" s="51">
        <v>1958</v>
      </c>
      <c r="E95" s="51"/>
      <c r="F95" s="52" t="s">
        <v>48</v>
      </c>
      <c r="G95" s="51">
        <v>3</v>
      </c>
      <c r="H95" s="51">
        <v>3</v>
      </c>
      <c r="I95" s="48">
        <v>2111.1</v>
      </c>
      <c r="J95" s="48">
        <v>1932</v>
      </c>
      <c r="K95" s="48">
        <v>1902.39</v>
      </c>
      <c r="L95" s="53">
        <v>85</v>
      </c>
      <c r="M95" s="51" t="s">
        <v>47</v>
      </c>
      <c r="N95" s="51" t="s">
        <v>49</v>
      </c>
      <c r="O95" s="48">
        <v>179920.82</v>
      </c>
      <c r="P95" s="48">
        <f t="shared" si="6"/>
        <v>85.226100137369144</v>
      </c>
      <c r="Q95" s="48">
        <v>3428.1349059731892</v>
      </c>
    </row>
    <row r="96" spans="1:17" ht="35.25">
      <c r="A96" s="1">
        <v>1</v>
      </c>
      <c r="B96" s="55">
        <v>6</v>
      </c>
      <c r="C96" s="56" t="s">
        <v>265</v>
      </c>
      <c r="D96" s="51">
        <v>1986</v>
      </c>
      <c r="E96" s="51"/>
      <c r="F96" s="52" t="s">
        <v>48</v>
      </c>
      <c r="G96" s="51">
        <v>4</v>
      </c>
      <c r="H96" s="51">
        <v>1</v>
      </c>
      <c r="I96" s="48">
        <v>2374.1999999999998</v>
      </c>
      <c r="J96" s="48">
        <v>1689.3</v>
      </c>
      <c r="K96" s="48">
        <v>1639.4</v>
      </c>
      <c r="L96" s="53">
        <v>151</v>
      </c>
      <c r="M96" s="51" t="s">
        <v>50</v>
      </c>
      <c r="N96" s="51" t="s">
        <v>354</v>
      </c>
      <c r="O96" s="48">
        <v>81305.67</v>
      </c>
      <c r="P96" s="48">
        <f t="shared" si="6"/>
        <v>34.245501642658581</v>
      </c>
      <c r="Q96" s="48">
        <v>2890.5740881138913</v>
      </c>
    </row>
    <row r="97" spans="1:17" ht="35.25">
      <c r="B97" s="105" t="s">
        <v>97</v>
      </c>
      <c r="C97" s="105"/>
      <c r="D97" s="51" t="s">
        <v>90</v>
      </c>
      <c r="E97" s="51" t="s">
        <v>90</v>
      </c>
      <c r="F97" s="52" t="s">
        <v>90</v>
      </c>
      <c r="G97" s="51" t="s">
        <v>90</v>
      </c>
      <c r="H97" s="51" t="s">
        <v>90</v>
      </c>
      <c r="I97" s="48">
        <f>I98</f>
        <v>4101.7</v>
      </c>
      <c r="J97" s="48">
        <f t="shared" ref="J97:L97" si="8">J98</f>
        <v>2751.3</v>
      </c>
      <c r="K97" s="48">
        <f t="shared" si="8"/>
        <v>2562.4</v>
      </c>
      <c r="L97" s="53">
        <f t="shared" si="8"/>
        <v>111</v>
      </c>
      <c r="M97" s="51" t="s">
        <v>131</v>
      </c>
      <c r="N97" s="54" t="s">
        <v>131</v>
      </c>
      <c r="O97" s="48">
        <v>418959.01</v>
      </c>
      <c r="P97" s="48">
        <f t="shared" si="6"/>
        <v>102.14277250895971</v>
      </c>
      <c r="Q97" s="48">
        <f>Q98</f>
        <v>1246.8085250018285</v>
      </c>
    </row>
    <row r="98" spans="1:17" ht="35.25">
      <c r="A98" s="1">
        <v>1</v>
      </c>
      <c r="B98" s="55">
        <v>7</v>
      </c>
      <c r="C98" s="56" t="s">
        <v>578</v>
      </c>
      <c r="D98" s="51">
        <v>1980</v>
      </c>
      <c r="E98" s="51"/>
      <c r="F98" s="52" t="s">
        <v>48</v>
      </c>
      <c r="G98" s="51">
        <v>5</v>
      </c>
      <c r="H98" s="51">
        <v>4</v>
      </c>
      <c r="I98" s="48">
        <v>4101.7</v>
      </c>
      <c r="J98" s="48">
        <v>2751.3</v>
      </c>
      <c r="K98" s="48">
        <f>J98-188.9</f>
        <v>2562.4</v>
      </c>
      <c r="L98" s="53">
        <v>111</v>
      </c>
      <c r="M98" s="51" t="s">
        <v>50</v>
      </c>
      <c r="N98" s="51" t="s">
        <v>84</v>
      </c>
      <c r="O98" s="48">
        <v>418959.01</v>
      </c>
      <c r="P98" s="48">
        <f t="shared" si="6"/>
        <v>102.14277250895971</v>
      </c>
      <c r="Q98" s="48">
        <v>1246.8085250018285</v>
      </c>
    </row>
    <row r="99" spans="1:17" ht="35.25">
      <c r="B99" s="105" t="s">
        <v>98</v>
      </c>
      <c r="C99" s="56"/>
      <c r="D99" s="51" t="s">
        <v>90</v>
      </c>
      <c r="E99" s="51" t="s">
        <v>90</v>
      </c>
      <c r="F99" s="51" t="s">
        <v>90</v>
      </c>
      <c r="G99" s="51" t="s">
        <v>90</v>
      </c>
      <c r="H99" s="51" t="s">
        <v>90</v>
      </c>
      <c r="I99" s="48">
        <f>I100+I101+I102</f>
        <v>2327.5</v>
      </c>
      <c r="J99" s="48">
        <f t="shared" ref="J99:L99" si="9">J100+J101+J102</f>
        <v>2088.7999999999997</v>
      </c>
      <c r="K99" s="48">
        <f t="shared" si="9"/>
        <v>1990.8000000000002</v>
      </c>
      <c r="L99" s="53">
        <f t="shared" si="9"/>
        <v>106</v>
      </c>
      <c r="M99" s="51" t="s">
        <v>131</v>
      </c>
      <c r="N99" s="54" t="s">
        <v>131</v>
      </c>
      <c r="O99" s="48">
        <v>34418.18</v>
      </c>
      <c r="P99" s="48">
        <f t="shared" si="6"/>
        <v>14.787617615467239</v>
      </c>
      <c r="Q99" s="48">
        <f>MAX(Q100:Q102)</f>
        <v>6415.2351773902574</v>
      </c>
    </row>
    <row r="100" spans="1:17" ht="35.25">
      <c r="A100" s="1">
        <v>1</v>
      </c>
      <c r="B100" s="55">
        <v>8</v>
      </c>
      <c r="C100" s="56" t="s">
        <v>266</v>
      </c>
      <c r="D100" s="51">
        <v>1979</v>
      </c>
      <c r="E100" s="51"/>
      <c r="F100" s="52" t="s">
        <v>48</v>
      </c>
      <c r="G100" s="51">
        <v>2</v>
      </c>
      <c r="H100" s="51">
        <v>3</v>
      </c>
      <c r="I100" s="48">
        <v>1053.2</v>
      </c>
      <c r="J100" s="48">
        <v>928.3</v>
      </c>
      <c r="K100" s="48">
        <v>866</v>
      </c>
      <c r="L100" s="53">
        <v>38</v>
      </c>
      <c r="M100" s="51" t="s">
        <v>47</v>
      </c>
      <c r="N100" s="54" t="s">
        <v>49</v>
      </c>
      <c r="O100" s="48">
        <v>11221.62</v>
      </c>
      <c r="P100" s="48">
        <f t="shared" si="6"/>
        <v>10.654785415875427</v>
      </c>
      <c r="Q100" s="48">
        <v>5473.559475883023</v>
      </c>
    </row>
    <row r="101" spans="1:17" ht="35.25">
      <c r="A101" s="1">
        <v>1</v>
      </c>
      <c r="B101" s="55">
        <v>9</v>
      </c>
      <c r="C101" s="56" t="s">
        <v>267</v>
      </c>
      <c r="D101" s="51">
        <v>1980</v>
      </c>
      <c r="E101" s="51"/>
      <c r="F101" s="52" t="s">
        <v>48</v>
      </c>
      <c r="G101" s="51">
        <v>2</v>
      </c>
      <c r="H101" s="51">
        <v>3</v>
      </c>
      <c r="I101" s="48">
        <v>941.7</v>
      </c>
      <c r="J101" s="48">
        <v>856.9</v>
      </c>
      <c r="K101" s="48">
        <v>856.9</v>
      </c>
      <c r="L101" s="53">
        <v>53</v>
      </c>
      <c r="M101" s="51" t="s">
        <v>47</v>
      </c>
      <c r="N101" s="54" t="s">
        <v>49</v>
      </c>
      <c r="O101" s="48">
        <v>19576.66</v>
      </c>
      <c r="P101" s="48">
        <f t="shared" si="6"/>
        <v>20.78863757035149</v>
      </c>
      <c r="Q101" s="48">
        <v>4942.3668471912497</v>
      </c>
    </row>
    <row r="102" spans="1:17" ht="35.25">
      <c r="B102" s="55">
        <v>10</v>
      </c>
      <c r="C102" s="56" t="s">
        <v>555</v>
      </c>
      <c r="D102" s="51">
        <v>1962</v>
      </c>
      <c r="E102" s="51"/>
      <c r="F102" s="52" t="s">
        <v>48</v>
      </c>
      <c r="G102" s="51">
        <v>2</v>
      </c>
      <c r="H102" s="51">
        <v>1</v>
      </c>
      <c r="I102" s="48">
        <v>332.6</v>
      </c>
      <c r="J102" s="48">
        <v>303.60000000000002</v>
      </c>
      <c r="K102" s="48">
        <v>267.89999999999998</v>
      </c>
      <c r="L102" s="53">
        <v>15</v>
      </c>
      <c r="M102" s="51" t="s">
        <v>47</v>
      </c>
      <c r="N102" s="54" t="s">
        <v>49</v>
      </c>
      <c r="O102" s="48">
        <v>3619.9</v>
      </c>
      <c r="P102" s="48">
        <f t="shared" si="6"/>
        <v>10.883644016837041</v>
      </c>
      <c r="Q102" s="48">
        <v>6415.2351773902574</v>
      </c>
    </row>
    <row r="103" spans="1:17" ht="35.25">
      <c r="B103" s="105" t="s">
        <v>209</v>
      </c>
      <c r="C103" s="56"/>
      <c r="D103" s="51" t="s">
        <v>90</v>
      </c>
      <c r="E103" s="51" t="s">
        <v>90</v>
      </c>
      <c r="F103" s="52" t="s">
        <v>90</v>
      </c>
      <c r="G103" s="51" t="s">
        <v>90</v>
      </c>
      <c r="H103" s="51" t="s">
        <v>90</v>
      </c>
      <c r="I103" s="48">
        <f>SUM(I104:I119)</f>
        <v>28928.739999999998</v>
      </c>
      <c r="J103" s="48">
        <f t="shared" ref="J103:L103" si="10">SUM(J104:J119)</f>
        <v>24894.54</v>
      </c>
      <c r="K103" s="48">
        <f t="shared" si="10"/>
        <v>22312.100000000002</v>
      </c>
      <c r="L103" s="53">
        <f t="shared" si="10"/>
        <v>1177</v>
      </c>
      <c r="M103" s="51" t="s">
        <v>131</v>
      </c>
      <c r="N103" s="54" t="s">
        <v>131</v>
      </c>
      <c r="O103" s="48">
        <v>1937425.3199999998</v>
      </c>
      <c r="P103" s="48">
        <f t="shared" si="6"/>
        <v>66.972336852555628</v>
      </c>
      <c r="Q103" s="48">
        <f>MAX(Q104:Q119)</f>
        <v>9874.5189134554657</v>
      </c>
    </row>
    <row r="104" spans="1:17" ht="35.25">
      <c r="A104" s="1">
        <v>1</v>
      </c>
      <c r="B104" s="55">
        <v>11</v>
      </c>
      <c r="C104" s="56" t="s">
        <v>268</v>
      </c>
      <c r="D104" s="51">
        <v>1966</v>
      </c>
      <c r="E104" s="51"/>
      <c r="F104" s="52" t="s">
        <v>48</v>
      </c>
      <c r="G104" s="51">
        <v>5</v>
      </c>
      <c r="H104" s="51">
        <v>4</v>
      </c>
      <c r="I104" s="48">
        <v>4070</v>
      </c>
      <c r="J104" s="48">
        <v>3151.1</v>
      </c>
      <c r="K104" s="48">
        <v>2925.4</v>
      </c>
      <c r="L104" s="53">
        <v>137</v>
      </c>
      <c r="M104" s="51" t="s">
        <v>50</v>
      </c>
      <c r="N104" s="54" t="s">
        <v>357</v>
      </c>
      <c r="O104" s="48">
        <v>9167.9599999999991</v>
      </c>
      <c r="P104" s="48">
        <f t="shared" si="6"/>
        <v>2.2525700245700242</v>
      </c>
      <c r="Q104" s="48">
        <v>1716.8499262899263</v>
      </c>
    </row>
    <row r="105" spans="1:17" ht="35.25">
      <c r="A105" s="1">
        <v>1</v>
      </c>
      <c r="B105" s="55">
        <v>12</v>
      </c>
      <c r="C105" s="56" t="s">
        <v>269</v>
      </c>
      <c r="D105" s="51">
        <v>1960</v>
      </c>
      <c r="E105" s="51">
        <v>2006</v>
      </c>
      <c r="F105" s="52" t="s">
        <v>48</v>
      </c>
      <c r="G105" s="51">
        <v>2</v>
      </c>
      <c r="H105" s="51">
        <v>3</v>
      </c>
      <c r="I105" s="48">
        <v>1011.9</v>
      </c>
      <c r="J105" s="48">
        <v>804.7</v>
      </c>
      <c r="K105" s="48">
        <v>655.4</v>
      </c>
      <c r="L105" s="53">
        <v>42</v>
      </c>
      <c r="M105" s="51" t="s">
        <v>50</v>
      </c>
      <c r="N105" s="54" t="s">
        <v>358</v>
      </c>
      <c r="O105" s="48">
        <v>208611.94</v>
      </c>
      <c r="P105" s="48">
        <f t="shared" si="6"/>
        <v>206.15865204071548</v>
      </c>
      <c r="Q105" s="48">
        <v>4489.2530380472381</v>
      </c>
    </row>
    <row r="106" spans="1:17" ht="35.25">
      <c r="A106" s="1">
        <v>1</v>
      </c>
      <c r="B106" s="55">
        <v>13</v>
      </c>
      <c r="C106" s="56" t="s">
        <v>270</v>
      </c>
      <c r="D106" s="51">
        <v>1951</v>
      </c>
      <c r="E106" s="51"/>
      <c r="F106" s="52" t="s">
        <v>48</v>
      </c>
      <c r="G106" s="51">
        <v>2</v>
      </c>
      <c r="H106" s="51">
        <v>2</v>
      </c>
      <c r="I106" s="48">
        <v>695</v>
      </c>
      <c r="J106" s="48">
        <v>626.9</v>
      </c>
      <c r="K106" s="48">
        <v>626.9</v>
      </c>
      <c r="L106" s="53">
        <v>33</v>
      </c>
      <c r="M106" s="51" t="s">
        <v>50</v>
      </c>
      <c r="N106" s="54" t="s">
        <v>170</v>
      </c>
      <c r="O106" s="48">
        <v>170151.06</v>
      </c>
      <c r="P106" s="48">
        <f t="shared" si="6"/>
        <v>244.82166906474819</v>
      </c>
      <c r="Q106" s="48">
        <v>6777.5209352517986</v>
      </c>
    </row>
    <row r="107" spans="1:17" ht="35.25">
      <c r="A107" s="1">
        <v>1</v>
      </c>
      <c r="B107" s="55">
        <v>14</v>
      </c>
      <c r="C107" s="56" t="s">
        <v>271</v>
      </c>
      <c r="D107" s="51">
        <v>1953</v>
      </c>
      <c r="E107" s="51">
        <v>2006</v>
      </c>
      <c r="F107" s="52" t="s">
        <v>48</v>
      </c>
      <c r="G107" s="51">
        <v>2</v>
      </c>
      <c r="H107" s="51">
        <v>1</v>
      </c>
      <c r="I107" s="48">
        <v>537.54</v>
      </c>
      <c r="J107" s="48">
        <v>501.3</v>
      </c>
      <c r="K107" s="48">
        <v>310.2</v>
      </c>
      <c r="L107" s="53">
        <v>37</v>
      </c>
      <c r="M107" s="51" t="s">
        <v>50</v>
      </c>
      <c r="N107" s="54" t="s">
        <v>356</v>
      </c>
      <c r="O107" s="48">
        <v>39116.53</v>
      </c>
      <c r="P107" s="48">
        <f t="shared" si="6"/>
        <v>72.769524128436956</v>
      </c>
      <c r="Q107" s="48">
        <v>5768.3861108010569</v>
      </c>
    </row>
    <row r="108" spans="1:17" ht="35.25">
      <c r="A108" s="1">
        <v>1</v>
      </c>
      <c r="B108" s="55">
        <v>15</v>
      </c>
      <c r="C108" s="56" t="s">
        <v>272</v>
      </c>
      <c r="D108" s="51">
        <v>1958</v>
      </c>
      <c r="E108" s="51">
        <v>2007</v>
      </c>
      <c r="F108" s="52" t="s">
        <v>48</v>
      </c>
      <c r="G108" s="51">
        <v>2</v>
      </c>
      <c r="H108" s="51">
        <v>2</v>
      </c>
      <c r="I108" s="48">
        <v>854.8</v>
      </c>
      <c r="J108" s="48">
        <v>789.8</v>
      </c>
      <c r="K108" s="48">
        <v>434.07</v>
      </c>
      <c r="L108" s="53">
        <v>42</v>
      </c>
      <c r="M108" s="51" t="s">
        <v>50</v>
      </c>
      <c r="N108" s="54" t="s">
        <v>358</v>
      </c>
      <c r="O108" s="48">
        <v>35463.9</v>
      </c>
      <c r="P108" s="48">
        <f t="shared" si="6"/>
        <v>41.487950397753863</v>
      </c>
      <c r="Q108" s="48">
        <v>4641.9592419279361</v>
      </c>
    </row>
    <row r="109" spans="1:17" ht="35.25">
      <c r="A109" s="1">
        <v>1</v>
      </c>
      <c r="B109" s="55">
        <v>16</v>
      </c>
      <c r="C109" s="56" t="s">
        <v>273</v>
      </c>
      <c r="D109" s="51">
        <v>1940</v>
      </c>
      <c r="E109" s="51"/>
      <c r="F109" s="52" t="s">
        <v>48</v>
      </c>
      <c r="G109" s="51">
        <v>3</v>
      </c>
      <c r="H109" s="51">
        <v>2</v>
      </c>
      <c r="I109" s="48">
        <v>1189.4000000000001</v>
      </c>
      <c r="J109" s="48">
        <v>1119.5999999999999</v>
      </c>
      <c r="K109" s="48">
        <v>1021.2</v>
      </c>
      <c r="L109" s="53">
        <v>46</v>
      </c>
      <c r="M109" s="51" t="s">
        <v>50</v>
      </c>
      <c r="N109" s="54" t="s">
        <v>73</v>
      </c>
      <c r="O109" s="48">
        <v>381944.5</v>
      </c>
      <c r="P109" s="48">
        <f t="shared" si="6"/>
        <v>321.12367580292585</v>
      </c>
      <c r="Q109" s="48">
        <v>3383.2999411467963</v>
      </c>
    </row>
    <row r="110" spans="1:17" ht="35.25">
      <c r="A110" s="1">
        <v>1</v>
      </c>
      <c r="B110" s="55">
        <v>17</v>
      </c>
      <c r="C110" s="56" t="s">
        <v>274</v>
      </c>
      <c r="D110" s="51">
        <v>1961</v>
      </c>
      <c r="E110" s="51"/>
      <c r="F110" s="52" t="s">
        <v>48</v>
      </c>
      <c r="G110" s="51">
        <v>4</v>
      </c>
      <c r="H110" s="51">
        <v>3</v>
      </c>
      <c r="I110" s="48">
        <v>2136.1</v>
      </c>
      <c r="J110" s="48">
        <v>1990.2</v>
      </c>
      <c r="K110" s="48">
        <v>1946.2</v>
      </c>
      <c r="L110" s="53">
        <v>89</v>
      </c>
      <c r="M110" s="51" t="s">
        <v>50</v>
      </c>
      <c r="N110" s="54" t="s">
        <v>170</v>
      </c>
      <c r="O110" s="48">
        <v>7464.31</v>
      </c>
      <c r="P110" s="48">
        <f t="shared" si="6"/>
        <v>3.4943635597584386</v>
      </c>
      <c r="Q110" s="48">
        <v>2020.5703511539721</v>
      </c>
    </row>
    <row r="111" spans="1:17" ht="35.25">
      <c r="A111" s="1">
        <v>1</v>
      </c>
      <c r="B111" s="55">
        <v>18</v>
      </c>
      <c r="C111" s="56" t="s">
        <v>275</v>
      </c>
      <c r="D111" s="51">
        <v>1935</v>
      </c>
      <c r="E111" s="51"/>
      <c r="F111" s="52" t="s">
        <v>48</v>
      </c>
      <c r="G111" s="51">
        <v>2</v>
      </c>
      <c r="H111" s="51">
        <v>2</v>
      </c>
      <c r="I111" s="48">
        <v>474.9</v>
      </c>
      <c r="J111" s="48">
        <v>427.5</v>
      </c>
      <c r="K111" s="48">
        <v>427.5</v>
      </c>
      <c r="L111" s="53">
        <v>15</v>
      </c>
      <c r="M111" s="51" t="s">
        <v>50</v>
      </c>
      <c r="N111" s="54" t="s">
        <v>73</v>
      </c>
      <c r="O111" s="48">
        <v>433416.75</v>
      </c>
      <c r="P111" s="48">
        <f t="shared" si="6"/>
        <v>912.64845230574861</v>
      </c>
      <c r="Q111" s="48">
        <v>9874.5189134554657</v>
      </c>
    </row>
    <row r="112" spans="1:17" ht="35.25">
      <c r="A112" s="1">
        <v>1</v>
      </c>
      <c r="B112" s="55">
        <v>19</v>
      </c>
      <c r="C112" s="56" t="s">
        <v>235</v>
      </c>
      <c r="D112" s="51">
        <v>1991</v>
      </c>
      <c r="E112" s="51">
        <v>2010</v>
      </c>
      <c r="F112" s="52" t="s">
        <v>241</v>
      </c>
      <c r="G112" s="51">
        <v>13</v>
      </c>
      <c r="H112" s="51">
        <v>1</v>
      </c>
      <c r="I112" s="48">
        <v>4135.3</v>
      </c>
      <c r="J112" s="48">
        <v>3928.9</v>
      </c>
      <c r="K112" s="48">
        <v>3680.79</v>
      </c>
      <c r="L112" s="53">
        <v>225</v>
      </c>
      <c r="M112" s="54" t="s">
        <v>50</v>
      </c>
      <c r="N112" s="57" t="s">
        <v>72</v>
      </c>
      <c r="O112" s="48">
        <v>167825.19</v>
      </c>
      <c r="P112" s="48">
        <f t="shared" si="6"/>
        <v>40.583558629361832</v>
      </c>
      <c r="Q112" s="48">
        <v>609.51312843082724</v>
      </c>
    </row>
    <row r="113" spans="1:17" ht="35.25">
      <c r="A113" s="1">
        <v>1</v>
      </c>
      <c r="B113" s="55">
        <v>20</v>
      </c>
      <c r="C113" s="56" t="s">
        <v>276</v>
      </c>
      <c r="D113" s="51">
        <v>1959</v>
      </c>
      <c r="E113" s="51"/>
      <c r="F113" s="52" t="s">
        <v>48</v>
      </c>
      <c r="G113" s="51">
        <v>4</v>
      </c>
      <c r="H113" s="51">
        <v>3</v>
      </c>
      <c r="I113" s="48">
        <v>3123</v>
      </c>
      <c r="J113" s="48">
        <v>2505.0300000000002</v>
      </c>
      <c r="K113" s="48">
        <v>2369.63</v>
      </c>
      <c r="L113" s="53">
        <v>89</v>
      </c>
      <c r="M113" s="57" t="s">
        <v>50</v>
      </c>
      <c r="N113" s="57" t="s">
        <v>240</v>
      </c>
      <c r="O113" s="48">
        <v>11016.92</v>
      </c>
      <c r="P113" s="48">
        <f t="shared" si="6"/>
        <v>3.5276721101504962</v>
      </c>
      <c r="Q113" s="48">
        <v>2309.3755875760485</v>
      </c>
    </row>
    <row r="114" spans="1:17" ht="35.25">
      <c r="A114" s="1">
        <v>1</v>
      </c>
      <c r="B114" s="55">
        <v>21</v>
      </c>
      <c r="C114" s="56" t="s">
        <v>343</v>
      </c>
      <c r="D114" s="51">
        <v>1953</v>
      </c>
      <c r="E114" s="51">
        <v>2008</v>
      </c>
      <c r="F114" s="52" t="s">
        <v>48</v>
      </c>
      <c r="G114" s="51">
        <v>2</v>
      </c>
      <c r="H114" s="51">
        <v>1</v>
      </c>
      <c r="I114" s="48">
        <v>520.79999999999995</v>
      </c>
      <c r="J114" s="48">
        <v>480.7</v>
      </c>
      <c r="K114" s="48">
        <v>406.6</v>
      </c>
      <c r="L114" s="53">
        <v>27</v>
      </c>
      <c r="M114" s="57" t="s">
        <v>50</v>
      </c>
      <c r="N114" s="57" t="s">
        <v>72</v>
      </c>
      <c r="O114" s="48">
        <v>111509.89</v>
      </c>
      <c r="P114" s="48">
        <f>O114/I114</f>
        <v>214.11269201228882</v>
      </c>
      <c r="Q114" s="48">
        <v>2449.2276651305688</v>
      </c>
    </row>
    <row r="115" spans="1:17" ht="35.25">
      <c r="A115" s="1">
        <v>1</v>
      </c>
      <c r="B115" s="55">
        <v>22</v>
      </c>
      <c r="C115" s="56" t="s">
        <v>344</v>
      </c>
      <c r="D115" s="51">
        <v>1936</v>
      </c>
      <c r="E115" s="51">
        <v>2008</v>
      </c>
      <c r="F115" s="52" t="s">
        <v>48</v>
      </c>
      <c r="G115" s="51">
        <v>3</v>
      </c>
      <c r="H115" s="51">
        <v>4</v>
      </c>
      <c r="I115" s="48">
        <v>1637.8</v>
      </c>
      <c r="J115" s="48">
        <v>1246.5999999999999</v>
      </c>
      <c r="K115" s="48">
        <v>1142.8</v>
      </c>
      <c r="L115" s="53">
        <v>53</v>
      </c>
      <c r="M115" s="57" t="s">
        <v>50</v>
      </c>
      <c r="N115" s="57" t="s">
        <v>73</v>
      </c>
      <c r="O115" s="48">
        <v>155816.68</v>
      </c>
      <c r="P115" s="48">
        <f t="shared" si="6"/>
        <v>95.137794602515569</v>
      </c>
      <c r="Q115" s="48">
        <v>2371.7990800464036</v>
      </c>
    </row>
    <row r="116" spans="1:17" ht="35.25">
      <c r="A116" s="1">
        <v>1</v>
      </c>
      <c r="B116" s="55">
        <v>23</v>
      </c>
      <c r="C116" s="56" t="s">
        <v>345</v>
      </c>
      <c r="D116" s="51">
        <v>1950</v>
      </c>
      <c r="E116" s="51"/>
      <c r="F116" s="52" t="s">
        <v>48</v>
      </c>
      <c r="G116" s="51">
        <v>2</v>
      </c>
      <c r="H116" s="51">
        <v>1</v>
      </c>
      <c r="I116" s="48">
        <v>459.9</v>
      </c>
      <c r="J116" s="48">
        <v>417.6</v>
      </c>
      <c r="K116" s="48">
        <v>417.6</v>
      </c>
      <c r="L116" s="53">
        <v>24</v>
      </c>
      <c r="M116" s="57" t="s">
        <v>50</v>
      </c>
      <c r="N116" s="57" t="s">
        <v>170</v>
      </c>
      <c r="O116" s="48">
        <v>9497.9600000000009</v>
      </c>
      <c r="P116" s="48">
        <f t="shared" si="6"/>
        <v>20.652228745379432</v>
      </c>
      <c r="Q116" s="48">
        <v>7461.1883018047401</v>
      </c>
    </row>
    <row r="117" spans="1:17" ht="35.25">
      <c r="A117" s="1">
        <v>1</v>
      </c>
      <c r="B117" s="55">
        <v>24</v>
      </c>
      <c r="C117" s="56" t="s">
        <v>346</v>
      </c>
      <c r="D117" s="51">
        <v>1961</v>
      </c>
      <c r="E117" s="51"/>
      <c r="F117" s="52" t="s">
        <v>48</v>
      </c>
      <c r="G117" s="51">
        <v>4</v>
      </c>
      <c r="H117" s="51">
        <v>2</v>
      </c>
      <c r="I117" s="48">
        <v>2794.3</v>
      </c>
      <c r="J117" s="48">
        <v>1973.11</v>
      </c>
      <c r="K117" s="48">
        <v>1887.11</v>
      </c>
      <c r="L117" s="53">
        <v>86</v>
      </c>
      <c r="M117" s="57" t="s">
        <v>50</v>
      </c>
      <c r="N117" s="57" t="s">
        <v>380</v>
      </c>
      <c r="O117" s="48">
        <v>61000.020000000004</v>
      </c>
      <c r="P117" s="48">
        <f t="shared" si="6"/>
        <v>21.830161399992843</v>
      </c>
      <c r="Q117" s="48">
        <v>1801.8109616004008</v>
      </c>
    </row>
    <row r="118" spans="1:17" ht="35.25">
      <c r="A118" s="1">
        <v>1</v>
      </c>
      <c r="B118" s="55">
        <v>25</v>
      </c>
      <c r="C118" s="56" t="s">
        <v>388</v>
      </c>
      <c r="D118" s="51">
        <v>1952</v>
      </c>
      <c r="E118" s="51"/>
      <c r="F118" s="52" t="s">
        <v>70</v>
      </c>
      <c r="G118" s="51">
        <v>2</v>
      </c>
      <c r="H118" s="51">
        <v>3</v>
      </c>
      <c r="I118" s="48">
        <v>1380</v>
      </c>
      <c r="J118" s="48">
        <v>1114.5</v>
      </c>
      <c r="K118" s="48">
        <v>895.5</v>
      </c>
      <c r="L118" s="53">
        <v>35</v>
      </c>
      <c r="M118" s="57" t="s">
        <v>50</v>
      </c>
      <c r="N118" s="57" t="s">
        <v>387</v>
      </c>
      <c r="O118" s="48">
        <v>91476.549999999988</v>
      </c>
      <c r="P118" s="48">
        <f t="shared" si="6"/>
        <v>66.287355072463754</v>
      </c>
      <c r="Q118" s="48">
        <v>4787.6852826086952</v>
      </c>
    </row>
    <row r="119" spans="1:17" ht="35.25">
      <c r="B119" s="55">
        <v>26</v>
      </c>
      <c r="C119" s="56" t="s">
        <v>557</v>
      </c>
      <c r="D119" s="51" t="s">
        <v>80</v>
      </c>
      <c r="E119" s="51"/>
      <c r="F119" s="52" t="s">
        <v>60</v>
      </c>
      <c r="G119" s="51">
        <v>5</v>
      </c>
      <c r="H119" s="51">
        <v>4</v>
      </c>
      <c r="I119" s="48">
        <v>3908</v>
      </c>
      <c r="J119" s="48">
        <v>3817</v>
      </c>
      <c r="K119" s="48">
        <v>3165.2</v>
      </c>
      <c r="L119" s="53">
        <v>197</v>
      </c>
      <c r="M119" s="57" t="s">
        <v>50</v>
      </c>
      <c r="N119" s="54" t="s">
        <v>394</v>
      </c>
      <c r="O119" s="48">
        <v>43945.16</v>
      </c>
      <c r="P119" s="48">
        <f t="shared" si="6"/>
        <v>11.244923234390994</v>
      </c>
      <c r="Q119" s="48">
        <v>1521.4128019447287</v>
      </c>
    </row>
    <row r="120" spans="1:17" ht="35.25">
      <c r="B120" s="105" t="s">
        <v>100</v>
      </c>
      <c r="C120" s="56"/>
      <c r="D120" s="51" t="s">
        <v>90</v>
      </c>
      <c r="E120" s="51" t="s">
        <v>90</v>
      </c>
      <c r="F120" s="52" t="s">
        <v>90</v>
      </c>
      <c r="G120" s="51" t="s">
        <v>90</v>
      </c>
      <c r="H120" s="51" t="s">
        <v>90</v>
      </c>
      <c r="I120" s="48">
        <f>SUM(I121:I127)</f>
        <v>14909.5</v>
      </c>
      <c r="J120" s="48">
        <f t="shared" ref="J120:L120" si="11">SUM(J121:J127)</f>
        <v>8883.0999999999985</v>
      </c>
      <c r="K120" s="48">
        <f t="shared" si="11"/>
        <v>7514.1</v>
      </c>
      <c r="L120" s="53">
        <f t="shared" si="11"/>
        <v>477</v>
      </c>
      <c r="M120" s="51" t="s">
        <v>131</v>
      </c>
      <c r="N120" s="54" t="s">
        <v>131</v>
      </c>
      <c r="O120" s="48">
        <v>2682931.6799999997</v>
      </c>
      <c r="P120" s="48">
        <f t="shared" si="6"/>
        <v>179.94779704215432</v>
      </c>
      <c r="Q120" s="48">
        <f>MAX(Q121:Q127)</f>
        <v>5889.0846370829031</v>
      </c>
    </row>
    <row r="121" spans="1:17" ht="35.25">
      <c r="A121" s="1">
        <v>1</v>
      </c>
      <c r="B121" s="55">
        <v>27</v>
      </c>
      <c r="C121" s="56" t="s">
        <v>277</v>
      </c>
      <c r="D121" s="51">
        <v>1992</v>
      </c>
      <c r="E121" s="51"/>
      <c r="F121" s="52" t="s">
        <v>48</v>
      </c>
      <c r="G121" s="51">
        <v>3</v>
      </c>
      <c r="H121" s="51">
        <v>3</v>
      </c>
      <c r="I121" s="48">
        <v>3997</v>
      </c>
      <c r="J121" s="48">
        <v>1901.1</v>
      </c>
      <c r="K121" s="48">
        <v>1791.5</v>
      </c>
      <c r="L121" s="53">
        <v>73</v>
      </c>
      <c r="M121" s="51" t="s">
        <v>50</v>
      </c>
      <c r="N121" s="54" t="s">
        <v>359</v>
      </c>
      <c r="O121" s="48">
        <v>505301.78</v>
      </c>
      <c r="P121" s="48">
        <f t="shared" si="6"/>
        <v>126.42026019514637</v>
      </c>
      <c r="Q121" s="48">
        <v>1791.9111033274955</v>
      </c>
    </row>
    <row r="122" spans="1:17" ht="35.25">
      <c r="A122" s="1">
        <v>1</v>
      </c>
      <c r="B122" s="55">
        <v>28</v>
      </c>
      <c r="C122" s="56" t="s">
        <v>278</v>
      </c>
      <c r="D122" s="51">
        <v>1983</v>
      </c>
      <c r="E122" s="51"/>
      <c r="F122" s="52" t="s">
        <v>60</v>
      </c>
      <c r="G122" s="51">
        <v>5</v>
      </c>
      <c r="H122" s="51">
        <v>4</v>
      </c>
      <c r="I122" s="48">
        <v>4357</v>
      </c>
      <c r="J122" s="48">
        <v>1821.4</v>
      </c>
      <c r="K122" s="48">
        <v>1678.3</v>
      </c>
      <c r="L122" s="53">
        <v>159</v>
      </c>
      <c r="M122" s="51" t="s">
        <v>50</v>
      </c>
      <c r="N122" s="54" t="s">
        <v>359</v>
      </c>
      <c r="O122" s="48">
        <v>1853524.39</v>
      </c>
      <c r="P122" s="48">
        <f t="shared" si="6"/>
        <v>425.41298829469815</v>
      </c>
      <c r="Q122" s="48">
        <v>1163.4414448014688</v>
      </c>
    </row>
    <row r="123" spans="1:17" ht="35.25">
      <c r="A123" s="1">
        <v>1</v>
      </c>
      <c r="B123" s="55">
        <v>29</v>
      </c>
      <c r="C123" s="56" t="s">
        <v>279</v>
      </c>
      <c r="D123" s="51">
        <v>1940</v>
      </c>
      <c r="E123" s="51"/>
      <c r="F123" s="52" t="s">
        <v>48</v>
      </c>
      <c r="G123" s="51">
        <v>3</v>
      </c>
      <c r="H123" s="51">
        <v>3</v>
      </c>
      <c r="I123" s="48">
        <v>2021</v>
      </c>
      <c r="J123" s="48">
        <v>1886.9</v>
      </c>
      <c r="K123" s="48">
        <v>1320.5</v>
      </c>
      <c r="L123" s="53">
        <v>47</v>
      </c>
      <c r="M123" s="51" t="s">
        <v>50</v>
      </c>
      <c r="N123" s="54" t="s">
        <v>360</v>
      </c>
      <c r="O123" s="48">
        <v>57982.38</v>
      </c>
      <c r="P123" s="48">
        <f t="shared" si="6"/>
        <v>28.689945571499255</v>
      </c>
      <c r="Q123" s="48">
        <v>3829.6596682830277</v>
      </c>
    </row>
    <row r="124" spans="1:17" ht="35.25">
      <c r="A124" s="1">
        <v>1</v>
      </c>
      <c r="B124" s="55">
        <v>30</v>
      </c>
      <c r="C124" s="56" t="s">
        <v>280</v>
      </c>
      <c r="D124" s="51">
        <v>1994</v>
      </c>
      <c r="E124" s="51"/>
      <c r="F124" s="52" t="s">
        <v>48</v>
      </c>
      <c r="G124" s="51">
        <v>3</v>
      </c>
      <c r="H124" s="51">
        <v>3</v>
      </c>
      <c r="I124" s="48">
        <v>1540.3</v>
      </c>
      <c r="J124" s="48">
        <v>1362.4</v>
      </c>
      <c r="K124" s="48">
        <v>1247.3</v>
      </c>
      <c r="L124" s="53">
        <v>65</v>
      </c>
      <c r="M124" s="51" t="s">
        <v>47</v>
      </c>
      <c r="N124" s="54" t="s">
        <v>49</v>
      </c>
      <c r="O124" s="48">
        <v>175548.91</v>
      </c>
      <c r="P124" s="48">
        <f t="shared" si="6"/>
        <v>113.97059663701877</v>
      </c>
      <c r="Q124" s="48">
        <v>3394.2781146529896</v>
      </c>
    </row>
    <row r="125" spans="1:17" ht="35.25">
      <c r="A125" s="1">
        <v>1</v>
      </c>
      <c r="B125" s="55">
        <v>31</v>
      </c>
      <c r="C125" s="56" t="s">
        <v>281</v>
      </c>
      <c r="D125" s="51">
        <v>1955</v>
      </c>
      <c r="E125" s="51"/>
      <c r="F125" s="52" t="s">
        <v>48</v>
      </c>
      <c r="G125" s="51">
        <v>2</v>
      </c>
      <c r="H125" s="51">
        <v>2</v>
      </c>
      <c r="I125" s="48">
        <v>872.1</v>
      </c>
      <c r="J125" s="48">
        <v>557</v>
      </c>
      <c r="K125" s="48">
        <v>255.4</v>
      </c>
      <c r="L125" s="53">
        <v>40</v>
      </c>
      <c r="M125" s="51" t="s">
        <v>50</v>
      </c>
      <c r="N125" s="54" t="s">
        <v>360</v>
      </c>
      <c r="O125" s="48">
        <v>63876.88</v>
      </c>
      <c r="P125" s="48">
        <f t="shared" si="6"/>
        <v>73.2449031074418</v>
      </c>
      <c r="Q125" s="48">
        <v>5889.0846370829031</v>
      </c>
    </row>
    <row r="126" spans="1:17" ht="35.25">
      <c r="A126" s="1">
        <v>1</v>
      </c>
      <c r="B126" s="55">
        <v>32</v>
      </c>
      <c r="C126" s="56" t="s">
        <v>282</v>
      </c>
      <c r="D126" s="51">
        <v>1928</v>
      </c>
      <c r="E126" s="51"/>
      <c r="F126" s="52" t="s">
        <v>48</v>
      </c>
      <c r="G126" s="51">
        <v>2</v>
      </c>
      <c r="H126" s="51">
        <v>2</v>
      </c>
      <c r="I126" s="48">
        <v>552</v>
      </c>
      <c r="J126" s="48">
        <v>401.5</v>
      </c>
      <c r="K126" s="48">
        <v>268.3</v>
      </c>
      <c r="L126" s="53">
        <v>32</v>
      </c>
      <c r="M126" s="51" t="s">
        <v>47</v>
      </c>
      <c r="N126" s="54" t="s">
        <v>49</v>
      </c>
      <c r="O126" s="48">
        <v>2454.27</v>
      </c>
      <c r="P126" s="48">
        <f t="shared" si="6"/>
        <v>4.446141304347826</v>
      </c>
      <c r="Q126" s="48">
        <v>5334.7201449275362</v>
      </c>
    </row>
    <row r="127" spans="1:17" ht="35.25">
      <c r="B127" s="55">
        <v>33</v>
      </c>
      <c r="C127" s="56" t="s">
        <v>558</v>
      </c>
      <c r="D127" s="51" t="s">
        <v>78</v>
      </c>
      <c r="E127" s="51"/>
      <c r="F127" s="52" t="s">
        <v>48</v>
      </c>
      <c r="G127" s="51">
        <v>3</v>
      </c>
      <c r="H127" s="51">
        <v>3</v>
      </c>
      <c r="I127" s="48">
        <v>1570.1</v>
      </c>
      <c r="J127" s="48">
        <v>952.8</v>
      </c>
      <c r="K127" s="48">
        <v>952.8</v>
      </c>
      <c r="L127" s="53">
        <v>61</v>
      </c>
      <c r="M127" s="51" t="s">
        <v>71</v>
      </c>
      <c r="N127" s="54" t="s">
        <v>570</v>
      </c>
      <c r="O127" s="48">
        <v>24243.07</v>
      </c>
      <c r="P127" s="48">
        <f t="shared" si="6"/>
        <v>15.440462390930515</v>
      </c>
      <c r="Q127" s="48">
        <v>3913.971307560028</v>
      </c>
    </row>
    <row r="128" spans="1:17" ht="35.25">
      <c r="B128" s="105" t="s">
        <v>99</v>
      </c>
      <c r="C128" s="56"/>
      <c r="D128" s="51" t="s">
        <v>90</v>
      </c>
      <c r="E128" s="51" t="s">
        <v>90</v>
      </c>
      <c r="F128" s="52" t="s">
        <v>90</v>
      </c>
      <c r="G128" s="51" t="s">
        <v>90</v>
      </c>
      <c r="H128" s="51" t="s">
        <v>90</v>
      </c>
      <c r="I128" s="48">
        <f>SUM(I129:I132)</f>
        <v>3874.7000000000003</v>
      </c>
      <c r="J128" s="48">
        <f t="shared" ref="J128:L128" si="12">SUM(J129:J132)</f>
        <v>2543</v>
      </c>
      <c r="K128" s="48">
        <f t="shared" si="12"/>
        <v>1614</v>
      </c>
      <c r="L128" s="53">
        <f t="shared" si="12"/>
        <v>141</v>
      </c>
      <c r="M128" s="51" t="s">
        <v>131</v>
      </c>
      <c r="N128" s="54" t="s">
        <v>131</v>
      </c>
      <c r="O128" s="48">
        <v>3091318.25</v>
      </c>
      <c r="P128" s="48">
        <f t="shared" si="6"/>
        <v>797.82131519859593</v>
      </c>
      <c r="Q128" s="48">
        <f>MAX(Q129:Q132)</f>
        <v>4490.9395258620689</v>
      </c>
    </row>
    <row r="129" spans="1:17" ht="35.25">
      <c r="A129" s="1">
        <v>1</v>
      </c>
      <c r="B129" s="55">
        <v>34</v>
      </c>
      <c r="C129" s="56" t="s">
        <v>283</v>
      </c>
      <c r="D129" s="51">
        <v>1965</v>
      </c>
      <c r="E129" s="51"/>
      <c r="F129" s="52" t="s">
        <v>48</v>
      </c>
      <c r="G129" s="51">
        <v>2</v>
      </c>
      <c r="H129" s="51">
        <v>2</v>
      </c>
      <c r="I129" s="48">
        <v>772.6</v>
      </c>
      <c r="J129" s="48">
        <v>450.9</v>
      </c>
      <c r="K129" s="48">
        <v>299.5</v>
      </c>
      <c r="L129" s="53">
        <v>27</v>
      </c>
      <c r="M129" s="51" t="s">
        <v>47</v>
      </c>
      <c r="N129" s="51" t="s">
        <v>49</v>
      </c>
      <c r="O129" s="48">
        <v>48915.49</v>
      </c>
      <c r="P129" s="48">
        <f t="shared" si="6"/>
        <v>63.312826818534816</v>
      </c>
      <c r="Q129" s="48">
        <v>3326.9879886098884</v>
      </c>
    </row>
    <row r="130" spans="1:17" ht="35.25">
      <c r="A130" s="1">
        <v>1</v>
      </c>
      <c r="B130" s="55">
        <v>35</v>
      </c>
      <c r="C130" s="56" t="s">
        <v>284</v>
      </c>
      <c r="D130" s="51">
        <v>1942</v>
      </c>
      <c r="E130" s="51"/>
      <c r="F130" s="52" t="s">
        <v>68</v>
      </c>
      <c r="G130" s="51">
        <v>2</v>
      </c>
      <c r="H130" s="51">
        <v>2</v>
      </c>
      <c r="I130" s="48">
        <v>842.2</v>
      </c>
      <c r="J130" s="48">
        <v>492.3</v>
      </c>
      <c r="K130" s="48">
        <v>352</v>
      </c>
      <c r="L130" s="53">
        <v>33</v>
      </c>
      <c r="M130" s="51" t="s">
        <v>47</v>
      </c>
      <c r="N130" s="51" t="s">
        <v>49</v>
      </c>
      <c r="O130" s="48">
        <v>14682.87</v>
      </c>
      <c r="P130" s="48">
        <f t="shared" si="6"/>
        <v>17.433946805984327</v>
      </c>
      <c r="Q130" s="48">
        <v>3763.1990976015195</v>
      </c>
    </row>
    <row r="131" spans="1:17" ht="35.25">
      <c r="A131" s="1">
        <v>1</v>
      </c>
      <c r="B131" s="55">
        <v>36</v>
      </c>
      <c r="C131" s="56" t="s">
        <v>285</v>
      </c>
      <c r="D131" s="51">
        <v>1933</v>
      </c>
      <c r="E131" s="51"/>
      <c r="F131" s="52" t="s">
        <v>48</v>
      </c>
      <c r="G131" s="51">
        <v>3</v>
      </c>
      <c r="H131" s="51">
        <v>3</v>
      </c>
      <c r="I131" s="48">
        <v>1795.9</v>
      </c>
      <c r="J131" s="48">
        <v>1183</v>
      </c>
      <c r="K131" s="48">
        <v>857.7</v>
      </c>
      <c r="L131" s="53">
        <v>48</v>
      </c>
      <c r="M131" s="51" t="s">
        <v>47</v>
      </c>
      <c r="N131" s="51" t="s">
        <v>49</v>
      </c>
      <c r="O131" s="48">
        <v>2981100.72</v>
      </c>
      <c r="P131" s="48">
        <f t="shared" si="6"/>
        <v>1659.94805946879</v>
      </c>
      <c r="Q131" s="48">
        <v>2536.0010579653654</v>
      </c>
    </row>
    <row r="132" spans="1:17" ht="35.25">
      <c r="A132" s="1">
        <v>1</v>
      </c>
      <c r="B132" s="55">
        <v>37</v>
      </c>
      <c r="C132" s="56" t="s">
        <v>286</v>
      </c>
      <c r="D132" s="51">
        <v>1934</v>
      </c>
      <c r="E132" s="51"/>
      <c r="F132" s="52" t="s">
        <v>68</v>
      </c>
      <c r="G132" s="51">
        <v>2</v>
      </c>
      <c r="H132" s="51">
        <v>2</v>
      </c>
      <c r="I132" s="48">
        <v>464</v>
      </c>
      <c r="J132" s="48">
        <v>416.8</v>
      </c>
      <c r="K132" s="48">
        <v>104.80000000000001</v>
      </c>
      <c r="L132" s="53">
        <v>33</v>
      </c>
      <c r="M132" s="51" t="s">
        <v>47</v>
      </c>
      <c r="N132" s="51" t="s">
        <v>49</v>
      </c>
      <c r="O132" s="48">
        <v>46619.17</v>
      </c>
      <c r="P132" s="48">
        <f t="shared" si="6"/>
        <v>100.47234913793103</v>
      </c>
      <c r="Q132" s="48">
        <v>4490.9395258620689</v>
      </c>
    </row>
    <row r="133" spans="1:17" ht="35.25">
      <c r="B133" s="105" t="s">
        <v>91</v>
      </c>
      <c r="C133" s="56"/>
      <c r="D133" s="51" t="s">
        <v>90</v>
      </c>
      <c r="E133" s="51" t="s">
        <v>90</v>
      </c>
      <c r="F133" s="52" t="s">
        <v>90</v>
      </c>
      <c r="G133" s="51" t="s">
        <v>90</v>
      </c>
      <c r="H133" s="51" t="s">
        <v>90</v>
      </c>
      <c r="I133" s="48">
        <f>SUM(I134:I159)</f>
        <v>53886.020000000004</v>
      </c>
      <c r="J133" s="48">
        <f>SUM(J134:J159)</f>
        <v>44025.96</v>
      </c>
      <c r="K133" s="48">
        <f>SUM(K134:K159)</f>
        <v>37797.509999999995</v>
      </c>
      <c r="L133" s="53">
        <f>SUM(L134:L159)</f>
        <v>1709</v>
      </c>
      <c r="M133" s="51" t="s">
        <v>131</v>
      </c>
      <c r="N133" s="54" t="s">
        <v>131</v>
      </c>
      <c r="O133" s="48">
        <v>9367918.0500000007</v>
      </c>
      <c r="P133" s="48">
        <f t="shared" si="6"/>
        <v>173.84690964372578</v>
      </c>
      <c r="Q133" s="48">
        <f>MAX(Q134:Q159)</f>
        <v>6561.0029422236603</v>
      </c>
    </row>
    <row r="134" spans="1:17" ht="35.25">
      <c r="A134" s="1">
        <v>1</v>
      </c>
      <c r="B134" s="55">
        <v>38</v>
      </c>
      <c r="C134" s="56" t="s">
        <v>287</v>
      </c>
      <c r="D134" s="51">
        <v>1962</v>
      </c>
      <c r="E134" s="51"/>
      <c r="F134" s="52" t="s">
        <v>48</v>
      </c>
      <c r="G134" s="51">
        <v>5</v>
      </c>
      <c r="H134" s="51">
        <v>2</v>
      </c>
      <c r="I134" s="48">
        <v>1612.2</v>
      </c>
      <c r="J134" s="48">
        <v>1358.8</v>
      </c>
      <c r="K134" s="48">
        <v>1358.8</v>
      </c>
      <c r="L134" s="53">
        <v>53</v>
      </c>
      <c r="M134" s="51" t="s">
        <v>50</v>
      </c>
      <c r="N134" s="51" t="s">
        <v>361</v>
      </c>
      <c r="O134" s="48">
        <v>13066.1</v>
      </c>
      <c r="P134" s="48">
        <f t="shared" si="6"/>
        <v>8.104515568787992</v>
      </c>
      <c r="Q134" s="48">
        <v>795.31</v>
      </c>
    </row>
    <row r="135" spans="1:17" ht="35.25">
      <c r="A135" s="1">
        <v>1</v>
      </c>
      <c r="B135" s="55">
        <v>39</v>
      </c>
      <c r="C135" s="56" t="s">
        <v>288</v>
      </c>
      <c r="D135" s="51">
        <v>1958</v>
      </c>
      <c r="E135" s="51"/>
      <c r="F135" s="52" t="s">
        <v>48</v>
      </c>
      <c r="G135" s="51">
        <v>4</v>
      </c>
      <c r="H135" s="51">
        <v>4</v>
      </c>
      <c r="I135" s="48">
        <v>5485.5</v>
      </c>
      <c r="J135" s="48">
        <v>4412.8</v>
      </c>
      <c r="K135" s="48">
        <v>3382.7</v>
      </c>
      <c r="L135" s="53">
        <v>96</v>
      </c>
      <c r="M135" s="51" t="s">
        <v>50</v>
      </c>
      <c r="N135" s="54" t="s">
        <v>243</v>
      </c>
      <c r="O135" s="48">
        <v>2190830</v>
      </c>
      <c r="P135" s="48">
        <f t="shared" si="6"/>
        <v>399.385653085407</v>
      </c>
      <c r="Q135" s="48">
        <v>1819.7531674414365</v>
      </c>
    </row>
    <row r="136" spans="1:17" ht="35.25">
      <c r="A136" s="1">
        <v>1</v>
      </c>
      <c r="B136" s="55">
        <v>40</v>
      </c>
      <c r="C136" s="56" t="s">
        <v>289</v>
      </c>
      <c r="D136" s="51">
        <v>1929</v>
      </c>
      <c r="E136" s="51"/>
      <c r="F136" s="52" t="s">
        <v>48</v>
      </c>
      <c r="G136" s="51">
        <v>4</v>
      </c>
      <c r="H136" s="51">
        <v>5</v>
      </c>
      <c r="I136" s="48">
        <v>2469.13</v>
      </c>
      <c r="J136" s="48">
        <v>2349.9299999999998</v>
      </c>
      <c r="K136" s="48">
        <v>2349.9299999999998</v>
      </c>
      <c r="L136" s="53">
        <v>95</v>
      </c>
      <c r="M136" s="51" t="s">
        <v>50</v>
      </c>
      <c r="N136" s="54" t="s">
        <v>362</v>
      </c>
      <c r="O136" s="48">
        <v>485978.33</v>
      </c>
      <c r="P136" s="48">
        <f t="shared" si="6"/>
        <v>196.82168618096253</v>
      </c>
      <c r="Q136" s="48">
        <v>2084.2774907761031</v>
      </c>
    </row>
    <row r="137" spans="1:17" ht="35.25">
      <c r="A137" s="1">
        <v>1</v>
      </c>
      <c r="B137" s="55">
        <v>41</v>
      </c>
      <c r="C137" s="56" t="s">
        <v>290</v>
      </c>
      <c r="D137" s="51">
        <v>1961</v>
      </c>
      <c r="E137" s="51"/>
      <c r="F137" s="52" t="s">
        <v>48</v>
      </c>
      <c r="G137" s="51">
        <v>4</v>
      </c>
      <c r="H137" s="51">
        <v>2</v>
      </c>
      <c r="I137" s="48">
        <v>1371.7</v>
      </c>
      <c r="J137" s="48">
        <v>1268.5999999999999</v>
      </c>
      <c r="K137" s="48">
        <v>1268.5999999999999</v>
      </c>
      <c r="L137" s="53">
        <v>55</v>
      </c>
      <c r="M137" s="51" t="s">
        <v>50</v>
      </c>
      <c r="N137" s="54" t="s">
        <v>363</v>
      </c>
      <c r="O137" s="48">
        <v>450455.92</v>
      </c>
      <c r="P137" s="48">
        <f t="shared" si="6"/>
        <v>328.39244732813296</v>
      </c>
      <c r="Q137" s="48">
        <v>2172.2704789677045</v>
      </c>
    </row>
    <row r="138" spans="1:17" ht="35.25">
      <c r="A138" s="1">
        <v>1</v>
      </c>
      <c r="B138" s="55">
        <v>42</v>
      </c>
      <c r="C138" s="56" t="s">
        <v>291</v>
      </c>
      <c r="D138" s="51">
        <v>1959</v>
      </c>
      <c r="E138" s="51"/>
      <c r="F138" s="52" t="s">
        <v>48</v>
      </c>
      <c r="G138" s="51">
        <v>4</v>
      </c>
      <c r="H138" s="51">
        <v>3</v>
      </c>
      <c r="I138" s="48">
        <v>2155.1999999999998</v>
      </c>
      <c r="J138" s="48">
        <v>1435.2</v>
      </c>
      <c r="K138" s="48">
        <v>1184.7</v>
      </c>
      <c r="L138" s="53">
        <v>62</v>
      </c>
      <c r="M138" s="51" t="s">
        <v>50</v>
      </c>
      <c r="N138" s="54" t="s">
        <v>364</v>
      </c>
      <c r="O138" s="48">
        <v>428766.45</v>
      </c>
      <c r="P138" s="48">
        <f t="shared" si="6"/>
        <v>198.94508630289533</v>
      </c>
      <c r="Q138" s="48">
        <v>1249.9820610616184</v>
      </c>
    </row>
    <row r="139" spans="1:17" ht="35.25">
      <c r="A139" s="1">
        <v>1</v>
      </c>
      <c r="B139" s="55">
        <v>43</v>
      </c>
      <c r="C139" s="56" t="s">
        <v>292</v>
      </c>
      <c r="D139" s="51">
        <v>1959</v>
      </c>
      <c r="E139" s="51"/>
      <c r="F139" s="52" t="s">
        <v>48</v>
      </c>
      <c r="G139" s="51">
        <v>4</v>
      </c>
      <c r="H139" s="51">
        <v>3</v>
      </c>
      <c r="I139" s="48">
        <v>3647.3</v>
      </c>
      <c r="J139" s="48">
        <v>2675.1</v>
      </c>
      <c r="K139" s="48">
        <v>2194.3000000000002</v>
      </c>
      <c r="L139" s="53">
        <v>61</v>
      </c>
      <c r="M139" s="51" t="s">
        <v>50</v>
      </c>
      <c r="N139" s="54" t="s">
        <v>365</v>
      </c>
      <c r="O139" s="48">
        <v>1170243.6200000001</v>
      </c>
      <c r="P139" s="48">
        <f t="shared" si="6"/>
        <v>320.85203301072028</v>
      </c>
      <c r="Q139" s="48">
        <v>1898.7168864639596</v>
      </c>
    </row>
    <row r="140" spans="1:17" ht="35.25">
      <c r="A140" s="1">
        <v>1</v>
      </c>
      <c r="B140" s="55">
        <v>44</v>
      </c>
      <c r="C140" s="56" t="s">
        <v>293</v>
      </c>
      <c r="D140" s="51">
        <v>1973</v>
      </c>
      <c r="E140" s="51"/>
      <c r="F140" s="52" t="s">
        <v>48</v>
      </c>
      <c r="G140" s="51">
        <v>5</v>
      </c>
      <c r="H140" s="51">
        <v>6</v>
      </c>
      <c r="I140" s="48">
        <v>4358.8999999999996</v>
      </c>
      <c r="J140" s="48">
        <v>3381.5</v>
      </c>
      <c r="K140" s="48">
        <v>2777</v>
      </c>
      <c r="L140" s="53">
        <v>177</v>
      </c>
      <c r="M140" s="51" t="s">
        <v>50</v>
      </c>
      <c r="N140" s="54" t="s">
        <v>252</v>
      </c>
      <c r="O140" s="48">
        <v>82236.160000000003</v>
      </c>
      <c r="P140" s="48">
        <f t="shared" si="6"/>
        <v>18.866264424510774</v>
      </c>
      <c r="Q140" s="48">
        <v>2270.3340388630158</v>
      </c>
    </row>
    <row r="141" spans="1:17" ht="35.25">
      <c r="A141" s="1">
        <v>1</v>
      </c>
      <c r="B141" s="55">
        <v>45</v>
      </c>
      <c r="C141" s="56" t="s">
        <v>294</v>
      </c>
      <c r="D141" s="51">
        <v>1956</v>
      </c>
      <c r="E141" s="51"/>
      <c r="F141" s="52" t="s">
        <v>48</v>
      </c>
      <c r="G141" s="51">
        <v>4</v>
      </c>
      <c r="H141" s="51">
        <v>3</v>
      </c>
      <c r="I141" s="48">
        <v>4032.8</v>
      </c>
      <c r="J141" s="48">
        <v>3036.64</v>
      </c>
      <c r="K141" s="48">
        <v>2440.14</v>
      </c>
      <c r="L141" s="53">
        <v>93</v>
      </c>
      <c r="M141" s="51" t="s">
        <v>50</v>
      </c>
      <c r="N141" s="54" t="s">
        <v>365</v>
      </c>
      <c r="O141" s="48">
        <v>253750</v>
      </c>
      <c r="P141" s="48">
        <f t="shared" si="6"/>
        <v>62.921543344574488</v>
      </c>
      <c r="Q141" s="48">
        <v>795.31</v>
      </c>
    </row>
    <row r="142" spans="1:17" ht="35.25">
      <c r="A142" s="1">
        <v>1</v>
      </c>
      <c r="B142" s="55">
        <v>46</v>
      </c>
      <c r="C142" s="56" t="s">
        <v>295</v>
      </c>
      <c r="D142" s="51">
        <v>1953</v>
      </c>
      <c r="E142" s="51"/>
      <c r="F142" s="52" t="s">
        <v>48</v>
      </c>
      <c r="G142" s="51">
        <v>2</v>
      </c>
      <c r="H142" s="51">
        <v>1</v>
      </c>
      <c r="I142" s="48">
        <v>617.9</v>
      </c>
      <c r="J142" s="48">
        <v>408.9</v>
      </c>
      <c r="K142" s="48">
        <v>408.9</v>
      </c>
      <c r="L142" s="53">
        <v>21</v>
      </c>
      <c r="M142" s="51" t="s">
        <v>47</v>
      </c>
      <c r="N142" s="54" t="s">
        <v>49</v>
      </c>
      <c r="O142" s="48">
        <v>23581.1</v>
      </c>
      <c r="P142" s="48">
        <f t="shared" si="6"/>
        <v>38.163295031558505</v>
      </c>
      <c r="Q142" s="48">
        <v>6561.0029422236603</v>
      </c>
    </row>
    <row r="143" spans="1:17" ht="35.25">
      <c r="A143" s="1">
        <v>1</v>
      </c>
      <c r="B143" s="55">
        <v>47</v>
      </c>
      <c r="C143" s="56" t="s">
        <v>296</v>
      </c>
      <c r="D143" s="51">
        <v>1937</v>
      </c>
      <c r="E143" s="51"/>
      <c r="F143" s="52" t="s">
        <v>48</v>
      </c>
      <c r="G143" s="51">
        <v>4</v>
      </c>
      <c r="H143" s="51">
        <v>6</v>
      </c>
      <c r="I143" s="48">
        <v>2381.6999999999998</v>
      </c>
      <c r="J143" s="48">
        <v>2256.8000000000002</v>
      </c>
      <c r="K143" s="48">
        <v>2256.8000000000002</v>
      </c>
      <c r="L143" s="53">
        <v>155</v>
      </c>
      <c r="M143" s="51" t="s">
        <v>50</v>
      </c>
      <c r="N143" s="54" t="s">
        <v>389</v>
      </c>
      <c r="O143" s="48">
        <v>1177488.75</v>
      </c>
      <c r="P143" s="48">
        <f t="shared" si="6"/>
        <v>494.39003652853006</v>
      </c>
      <c r="Q143" s="48">
        <v>3313.6923835915522</v>
      </c>
    </row>
    <row r="144" spans="1:17" ht="35.25">
      <c r="A144" s="1">
        <v>1</v>
      </c>
      <c r="B144" s="55">
        <v>48</v>
      </c>
      <c r="C144" s="56" t="s">
        <v>297</v>
      </c>
      <c r="D144" s="51">
        <v>1955</v>
      </c>
      <c r="E144" s="51"/>
      <c r="F144" s="52" t="s">
        <v>48</v>
      </c>
      <c r="G144" s="51">
        <v>3</v>
      </c>
      <c r="H144" s="51">
        <v>3</v>
      </c>
      <c r="I144" s="48">
        <v>1854.6</v>
      </c>
      <c r="J144" s="48">
        <v>1281.7</v>
      </c>
      <c r="K144" s="48">
        <v>834.3</v>
      </c>
      <c r="L144" s="53">
        <v>34</v>
      </c>
      <c r="M144" s="51" t="s">
        <v>50</v>
      </c>
      <c r="N144" s="54" t="s">
        <v>390</v>
      </c>
      <c r="O144" s="48">
        <v>186610.06</v>
      </c>
      <c r="P144" s="48">
        <f t="shared" si="6"/>
        <v>100.62011215356411</v>
      </c>
      <c r="Q144" s="48">
        <v>3922.4463819691578</v>
      </c>
    </row>
    <row r="145" spans="1:17" ht="35.25">
      <c r="A145" s="1">
        <v>1</v>
      </c>
      <c r="B145" s="55">
        <v>49</v>
      </c>
      <c r="C145" s="56" t="s">
        <v>298</v>
      </c>
      <c r="D145" s="51">
        <v>1929</v>
      </c>
      <c r="E145" s="51"/>
      <c r="F145" s="52" t="s">
        <v>48</v>
      </c>
      <c r="G145" s="51">
        <v>3</v>
      </c>
      <c r="H145" s="51">
        <v>5</v>
      </c>
      <c r="I145" s="48">
        <v>2240.83</v>
      </c>
      <c r="J145" s="48">
        <v>1864.33</v>
      </c>
      <c r="K145" s="48">
        <v>1864.33</v>
      </c>
      <c r="L145" s="53">
        <v>90</v>
      </c>
      <c r="M145" s="51" t="s">
        <v>50</v>
      </c>
      <c r="N145" s="54" t="s">
        <v>243</v>
      </c>
      <c r="O145" s="48">
        <v>69345.69</v>
      </c>
      <c r="P145" s="48">
        <f t="shared" si="6"/>
        <v>30.946430563675069</v>
      </c>
      <c r="Q145" s="48">
        <v>679.05177144183199</v>
      </c>
    </row>
    <row r="146" spans="1:17" ht="35.25">
      <c r="A146" s="1">
        <v>1</v>
      </c>
      <c r="B146" s="55">
        <v>50</v>
      </c>
      <c r="C146" s="56" t="s">
        <v>299</v>
      </c>
      <c r="D146" s="51">
        <v>1959</v>
      </c>
      <c r="E146" s="51"/>
      <c r="F146" s="52" t="s">
        <v>48</v>
      </c>
      <c r="G146" s="51">
        <v>2</v>
      </c>
      <c r="H146" s="51">
        <v>1</v>
      </c>
      <c r="I146" s="48">
        <v>367.5</v>
      </c>
      <c r="J146" s="48">
        <v>251</v>
      </c>
      <c r="K146" s="48">
        <v>251</v>
      </c>
      <c r="L146" s="53">
        <v>14</v>
      </c>
      <c r="M146" s="51" t="s">
        <v>50</v>
      </c>
      <c r="N146" s="54" t="s">
        <v>168</v>
      </c>
      <c r="O146" s="48">
        <v>49508.61</v>
      </c>
      <c r="P146" s="48">
        <f t="shared" si="6"/>
        <v>134.71730612244897</v>
      </c>
      <c r="Q146" s="48">
        <v>4828.1523918367338</v>
      </c>
    </row>
    <row r="147" spans="1:17" ht="35.25">
      <c r="A147" s="1">
        <v>1</v>
      </c>
      <c r="B147" s="55">
        <v>51</v>
      </c>
      <c r="C147" s="56" t="s">
        <v>300</v>
      </c>
      <c r="D147" s="51">
        <v>1934</v>
      </c>
      <c r="E147" s="51"/>
      <c r="F147" s="52" t="s">
        <v>48</v>
      </c>
      <c r="G147" s="51">
        <v>3</v>
      </c>
      <c r="H147" s="51">
        <v>7</v>
      </c>
      <c r="I147" s="48">
        <v>2922</v>
      </c>
      <c r="J147" s="48">
        <v>2656.4</v>
      </c>
      <c r="K147" s="48">
        <v>2656.4</v>
      </c>
      <c r="L147" s="53">
        <v>95</v>
      </c>
      <c r="M147" s="51" t="s">
        <v>50</v>
      </c>
      <c r="N147" s="54" t="s">
        <v>168</v>
      </c>
      <c r="O147" s="48">
        <v>194179.65</v>
      </c>
      <c r="P147" s="48">
        <f t="shared" si="6"/>
        <v>66.454363449691996</v>
      </c>
      <c r="Q147" s="48">
        <v>3285.9967453798768</v>
      </c>
    </row>
    <row r="148" spans="1:17" ht="35.25">
      <c r="A148" s="1">
        <v>1</v>
      </c>
      <c r="B148" s="55">
        <v>52</v>
      </c>
      <c r="C148" s="56" t="s">
        <v>301</v>
      </c>
      <c r="D148" s="51">
        <v>1934</v>
      </c>
      <c r="E148" s="51"/>
      <c r="F148" s="52" t="s">
        <v>48</v>
      </c>
      <c r="G148" s="51">
        <v>3</v>
      </c>
      <c r="H148" s="51">
        <v>5</v>
      </c>
      <c r="I148" s="48">
        <v>1040.8</v>
      </c>
      <c r="J148" s="48">
        <v>878</v>
      </c>
      <c r="K148" s="48">
        <v>878</v>
      </c>
      <c r="L148" s="53">
        <v>58</v>
      </c>
      <c r="M148" s="51" t="s">
        <v>47</v>
      </c>
      <c r="N148" s="54" t="s">
        <v>49</v>
      </c>
      <c r="O148" s="48">
        <v>874380.28</v>
      </c>
      <c r="P148" s="48">
        <f t="shared" si="6"/>
        <v>840.10403535741739</v>
      </c>
      <c r="Q148" s="48">
        <v>4483.7669869331285</v>
      </c>
    </row>
    <row r="149" spans="1:17" ht="35.25">
      <c r="A149" s="1">
        <v>1</v>
      </c>
      <c r="B149" s="55">
        <v>53</v>
      </c>
      <c r="C149" s="56" t="s">
        <v>302</v>
      </c>
      <c r="D149" s="51">
        <v>1928</v>
      </c>
      <c r="E149" s="51"/>
      <c r="F149" s="52" t="s">
        <v>68</v>
      </c>
      <c r="G149" s="51">
        <v>2</v>
      </c>
      <c r="H149" s="51">
        <v>1</v>
      </c>
      <c r="I149" s="48">
        <v>286.10000000000002</v>
      </c>
      <c r="J149" s="48">
        <v>205.8</v>
      </c>
      <c r="K149" s="48">
        <v>205.8</v>
      </c>
      <c r="L149" s="53">
        <v>16</v>
      </c>
      <c r="M149" s="51" t="s">
        <v>47</v>
      </c>
      <c r="N149" s="54" t="s">
        <v>49</v>
      </c>
      <c r="O149" s="48">
        <v>37308.06</v>
      </c>
      <c r="P149" s="48">
        <f t="shared" si="6"/>
        <v>130.40216707444947</v>
      </c>
      <c r="Q149" s="48">
        <v>2420.2238378189445</v>
      </c>
    </row>
    <row r="150" spans="1:17" ht="35.25">
      <c r="A150" s="1">
        <v>1</v>
      </c>
      <c r="B150" s="55">
        <v>54</v>
      </c>
      <c r="C150" s="56" t="s">
        <v>303</v>
      </c>
      <c r="D150" s="51">
        <v>1958</v>
      </c>
      <c r="E150" s="51"/>
      <c r="F150" s="52" t="s">
        <v>48</v>
      </c>
      <c r="G150" s="51">
        <v>2</v>
      </c>
      <c r="H150" s="51">
        <v>1</v>
      </c>
      <c r="I150" s="48">
        <v>417.2</v>
      </c>
      <c r="J150" s="48">
        <v>385.8</v>
      </c>
      <c r="K150" s="48">
        <v>385.8</v>
      </c>
      <c r="L150" s="53">
        <v>20</v>
      </c>
      <c r="M150" s="51" t="s">
        <v>47</v>
      </c>
      <c r="N150" s="54" t="s">
        <v>49</v>
      </c>
      <c r="O150" s="48">
        <v>41021.47</v>
      </c>
      <c r="P150" s="48">
        <f t="shared" si="6"/>
        <v>98.325671140939605</v>
      </c>
      <c r="Q150" s="48">
        <v>4331.6459026845641</v>
      </c>
    </row>
    <row r="151" spans="1:17" ht="35.25">
      <c r="A151" s="1">
        <v>1</v>
      </c>
      <c r="B151" s="55">
        <v>55</v>
      </c>
      <c r="C151" s="56" t="s">
        <v>304</v>
      </c>
      <c r="D151" s="51">
        <v>1958</v>
      </c>
      <c r="E151" s="51"/>
      <c r="F151" s="52" t="s">
        <v>48</v>
      </c>
      <c r="G151" s="51">
        <v>4</v>
      </c>
      <c r="H151" s="51">
        <v>5</v>
      </c>
      <c r="I151" s="48">
        <v>3533.4</v>
      </c>
      <c r="J151" s="48">
        <v>3254</v>
      </c>
      <c r="K151" s="48">
        <v>3254</v>
      </c>
      <c r="L151" s="53">
        <v>98</v>
      </c>
      <c r="M151" s="51" t="s">
        <v>50</v>
      </c>
      <c r="N151" s="54" t="s">
        <v>252</v>
      </c>
      <c r="O151" s="48">
        <v>504846.64999999997</v>
      </c>
      <c r="P151" s="48">
        <f t="shared" si="6"/>
        <v>142.87843153902756</v>
      </c>
      <c r="Q151" s="48">
        <v>4678.3697220807153</v>
      </c>
    </row>
    <row r="152" spans="1:17" ht="35.25">
      <c r="A152" s="1">
        <v>1</v>
      </c>
      <c r="B152" s="55">
        <v>56</v>
      </c>
      <c r="C152" s="56" t="s">
        <v>347</v>
      </c>
      <c r="D152" s="51">
        <v>1958</v>
      </c>
      <c r="E152" s="51"/>
      <c r="F152" s="52" t="s">
        <v>48</v>
      </c>
      <c r="G152" s="51">
        <v>4</v>
      </c>
      <c r="H152" s="51">
        <v>4</v>
      </c>
      <c r="I152" s="48">
        <v>3399.9</v>
      </c>
      <c r="J152" s="48">
        <v>2625.8</v>
      </c>
      <c r="K152" s="48">
        <v>2062.6999999999998</v>
      </c>
      <c r="L152" s="53">
        <v>68</v>
      </c>
      <c r="M152" s="51" t="s">
        <v>50</v>
      </c>
      <c r="N152" s="54" t="s">
        <v>381</v>
      </c>
      <c r="O152" s="48">
        <v>42749.45</v>
      </c>
      <c r="P152" s="48">
        <f t="shared" si="6"/>
        <v>12.573737462866553</v>
      </c>
      <c r="Q152" s="48">
        <v>2709.4125591929173</v>
      </c>
    </row>
    <row r="153" spans="1:17" ht="35.25">
      <c r="A153" s="1">
        <v>1</v>
      </c>
      <c r="B153" s="55">
        <v>57</v>
      </c>
      <c r="C153" s="56" t="s">
        <v>348</v>
      </c>
      <c r="D153" s="51">
        <v>1942</v>
      </c>
      <c r="E153" s="51"/>
      <c r="F153" s="52" t="s">
        <v>68</v>
      </c>
      <c r="G153" s="51">
        <v>2</v>
      </c>
      <c r="H153" s="51">
        <v>2</v>
      </c>
      <c r="I153" s="48">
        <v>489</v>
      </c>
      <c r="J153" s="48">
        <v>431</v>
      </c>
      <c r="K153" s="48">
        <v>431</v>
      </c>
      <c r="L153" s="53">
        <v>39</v>
      </c>
      <c r="M153" s="51" t="s">
        <v>47</v>
      </c>
      <c r="N153" s="54" t="s">
        <v>49</v>
      </c>
      <c r="O153" s="48">
        <v>81763.55</v>
      </c>
      <c r="P153" s="48">
        <f t="shared" ref="P153:P218" si="13">O153/I153</f>
        <v>167.20562372188141</v>
      </c>
      <c r="Q153" s="48">
        <v>4490.9945194274023</v>
      </c>
    </row>
    <row r="154" spans="1:17" ht="35.25">
      <c r="A154" s="1">
        <v>1</v>
      </c>
      <c r="B154" s="55">
        <v>58</v>
      </c>
      <c r="C154" s="56" t="s">
        <v>349</v>
      </c>
      <c r="D154" s="51">
        <v>1931</v>
      </c>
      <c r="E154" s="51"/>
      <c r="F154" s="52" t="s">
        <v>48</v>
      </c>
      <c r="G154" s="51">
        <v>3</v>
      </c>
      <c r="H154" s="51">
        <v>5</v>
      </c>
      <c r="I154" s="48">
        <v>1823.46</v>
      </c>
      <c r="J154" s="48">
        <v>1514.06</v>
      </c>
      <c r="K154" s="48">
        <v>1514.06</v>
      </c>
      <c r="L154" s="53">
        <v>60</v>
      </c>
      <c r="M154" s="51" t="s">
        <v>50</v>
      </c>
      <c r="N154" s="54" t="s">
        <v>252</v>
      </c>
      <c r="O154" s="48">
        <v>7245.74</v>
      </c>
      <c r="P154" s="48">
        <f t="shared" si="13"/>
        <v>3.9736215765632368</v>
      </c>
      <c r="Q154" s="48">
        <v>3113.5358603972663</v>
      </c>
    </row>
    <row r="155" spans="1:17" ht="35.25">
      <c r="A155" s="1">
        <v>1</v>
      </c>
      <c r="B155" s="55">
        <v>59</v>
      </c>
      <c r="C155" s="56" t="s">
        <v>392</v>
      </c>
      <c r="D155" s="51">
        <v>1984</v>
      </c>
      <c r="E155" s="51"/>
      <c r="F155" s="52" t="s">
        <v>60</v>
      </c>
      <c r="G155" s="51">
        <v>5</v>
      </c>
      <c r="H155" s="51">
        <v>5</v>
      </c>
      <c r="I155" s="48">
        <v>4724.5</v>
      </c>
      <c r="J155" s="48">
        <v>4003.6</v>
      </c>
      <c r="K155" s="48">
        <v>1759.6</v>
      </c>
      <c r="L155" s="53">
        <v>146</v>
      </c>
      <c r="M155" s="51" t="s">
        <v>50</v>
      </c>
      <c r="N155" s="54" t="s">
        <v>362</v>
      </c>
      <c r="O155" s="48">
        <v>16859.560000000001</v>
      </c>
      <c r="P155" s="48">
        <f t="shared" si="13"/>
        <v>3.5685384696793316</v>
      </c>
      <c r="Q155" s="48">
        <v>1188.4895756164674</v>
      </c>
    </row>
    <row r="156" spans="1:17" ht="35.25">
      <c r="B156" s="55">
        <v>60</v>
      </c>
      <c r="C156" s="56" t="s">
        <v>559</v>
      </c>
      <c r="D156" s="51">
        <v>1959</v>
      </c>
      <c r="E156" s="51"/>
      <c r="F156" s="52" t="s">
        <v>48</v>
      </c>
      <c r="G156" s="51">
        <v>2</v>
      </c>
      <c r="H156" s="51">
        <v>1</v>
      </c>
      <c r="I156" s="48">
        <v>416.5</v>
      </c>
      <c r="J156" s="48">
        <v>259.3</v>
      </c>
      <c r="K156" s="48">
        <v>259.3</v>
      </c>
      <c r="L156" s="53">
        <v>14</v>
      </c>
      <c r="M156" s="57" t="s">
        <v>50</v>
      </c>
      <c r="N156" s="54" t="s">
        <v>571</v>
      </c>
      <c r="O156" s="48">
        <v>27161.4</v>
      </c>
      <c r="P156" s="48">
        <f t="shared" si="13"/>
        <v>65.213445378151263</v>
      </c>
      <c r="Q156" s="48">
        <v>5176.8722593037219</v>
      </c>
    </row>
    <row r="157" spans="1:17" ht="35.25">
      <c r="B157" s="55">
        <v>61</v>
      </c>
      <c r="C157" s="56" t="s">
        <v>560</v>
      </c>
      <c r="D157" s="51">
        <v>1959</v>
      </c>
      <c r="E157" s="51"/>
      <c r="F157" s="52" t="s">
        <v>48</v>
      </c>
      <c r="G157" s="51">
        <v>3</v>
      </c>
      <c r="H157" s="51">
        <v>2</v>
      </c>
      <c r="I157" s="48">
        <v>1142</v>
      </c>
      <c r="J157" s="48">
        <v>934</v>
      </c>
      <c r="K157" s="48">
        <v>922.45</v>
      </c>
      <c r="L157" s="53">
        <v>42</v>
      </c>
      <c r="M157" s="57" t="s">
        <v>50</v>
      </c>
      <c r="N157" s="54" t="s">
        <v>572</v>
      </c>
      <c r="O157" s="48">
        <v>843836.3</v>
      </c>
      <c r="P157" s="48">
        <f t="shared" si="13"/>
        <v>738.91094570928203</v>
      </c>
      <c r="Q157" s="48">
        <v>3113.9918563922938</v>
      </c>
    </row>
    <row r="158" spans="1:17" ht="35.25">
      <c r="B158" s="55">
        <v>62</v>
      </c>
      <c r="C158" s="56" t="s">
        <v>561</v>
      </c>
      <c r="D158" s="51" t="s">
        <v>77</v>
      </c>
      <c r="E158" s="51"/>
      <c r="F158" s="52" t="s">
        <v>68</v>
      </c>
      <c r="G158" s="51">
        <v>2</v>
      </c>
      <c r="H158" s="51">
        <v>2</v>
      </c>
      <c r="I158" s="48">
        <v>485</v>
      </c>
      <c r="J158" s="48">
        <v>329.7</v>
      </c>
      <c r="K158" s="48">
        <v>329.7</v>
      </c>
      <c r="L158" s="53">
        <v>21</v>
      </c>
      <c r="M158" s="57" t="s">
        <v>50</v>
      </c>
      <c r="N158" s="54" t="s">
        <v>94</v>
      </c>
      <c r="O158" s="48">
        <v>92522.930000000008</v>
      </c>
      <c r="P158" s="48">
        <f t="shared" si="13"/>
        <v>190.76892783505156</v>
      </c>
      <c r="Q158" s="48">
        <v>5467.0860824742267</v>
      </c>
    </row>
    <row r="159" spans="1:17" ht="35.25">
      <c r="B159" s="55">
        <v>63</v>
      </c>
      <c r="C159" s="56" t="s">
        <v>562</v>
      </c>
      <c r="D159" s="51" t="s">
        <v>58</v>
      </c>
      <c r="E159" s="51"/>
      <c r="F159" s="52" t="s">
        <v>48</v>
      </c>
      <c r="G159" s="51">
        <v>2</v>
      </c>
      <c r="H159" s="51">
        <v>2</v>
      </c>
      <c r="I159" s="48">
        <v>610.9</v>
      </c>
      <c r="J159" s="48">
        <v>567.20000000000005</v>
      </c>
      <c r="K159" s="48">
        <v>567.20000000000005</v>
      </c>
      <c r="L159" s="53">
        <v>26</v>
      </c>
      <c r="M159" s="57" t="s">
        <v>50</v>
      </c>
      <c r="N159" s="54" t="s">
        <v>571</v>
      </c>
      <c r="O159" s="48">
        <v>22182.22</v>
      </c>
      <c r="P159" s="48">
        <f t="shared" si="13"/>
        <v>36.310721885742353</v>
      </c>
      <c r="Q159" s="48">
        <v>5422.9189883778035</v>
      </c>
    </row>
    <row r="160" spans="1:17" ht="35.25">
      <c r="B160" s="105" t="s">
        <v>258</v>
      </c>
      <c r="C160" s="56"/>
      <c r="D160" s="51" t="s">
        <v>90</v>
      </c>
      <c r="E160" s="51" t="s">
        <v>90</v>
      </c>
      <c r="F160" s="52" t="s">
        <v>90</v>
      </c>
      <c r="G160" s="51" t="s">
        <v>90</v>
      </c>
      <c r="H160" s="51" t="s">
        <v>90</v>
      </c>
      <c r="I160" s="48">
        <f>SUM(I161:I175)</f>
        <v>47621.47</v>
      </c>
      <c r="J160" s="48">
        <f t="shared" ref="J160:L160" si="14">SUM(J161:J175)</f>
        <v>44795.68</v>
      </c>
      <c r="K160" s="48">
        <f t="shared" si="14"/>
        <v>40469.659999999996</v>
      </c>
      <c r="L160" s="53">
        <f t="shared" si="14"/>
        <v>2263</v>
      </c>
      <c r="M160" s="51" t="s">
        <v>131</v>
      </c>
      <c r="N160" s="54" t="s">
        <v>131</v>
      </c>
      <c r="O160" s="48">
        <v>5316085.62</v>
      </c>
      <c r="P160" s="48">
        <f t="shared" si="13"/>
        <v>111.63211929409151</v>
      </c>
      <c r="Q160" s="48">
        <f>MAX(Q161:Q175)</f>
        <v>6614.7607031531634</v>
      </c>
    </row>
    <row r="161" spans="1:17" ht="35.25">
      <c r="A161" s="1">
        <v>1</v>
      </c>
      <c r="B161" s="55">
        <f>B159+1</f>
        <v>64</v>
      </c>
      <c r="C161" s="56" t="s">
        <v>305</v>
      </c>
      <c r="D161" s="51">
        <v>1968</v>
      </c>
      <c r="E161" s="51"/>
      <c r="F161" s="52" t="s">
        <v>48</v>
      </c>
      <c r="G161" s="51">
        <v>6</v>
      </c>
      <c r="H161" s="51">
        <v>8</v>
      </c>
      <c r="I161" s="48">
        <v>6064</v>
      </c>
      <c r="J161" s="48">
        <v>5971</v>
      </c>
      <c r="K161" s="48">
        <v>5128.3999999999996</v>
      </c>
      <c r="L161" s="53">
        <v>268</v>
      </c>
      <c r="M161" s="51" t="s">
        <v>71</v>
      </c>
      <c r="N161" s="54" t="s">
        <v>366</v>
      </c>
      <c r="O161" s="48">
        <v>1768733.14</v>
      </c>
      <c r="P161" s="48">
        <f t="shared" si="13"/>
        <v>291.67762862796832</v>
      </c>
      <c r="Q161" s="48">
        <v>2097.8129106200527</v>
      </c>
    </row>
    <row r="162" spans="1:17" ht="35.25">
      <c r="A162" s="1">
        <v>1</v>
      </c>
      <c r="B162" s="55">
        <f t="shared" ref="B162:B175" si="15">B161+1</f>
        <v>65</v>
      </c>
      <c r="C162" s="56" t="s">
        <v>306</v>
      </c>
      <c r="D162" s="51">
        <v>1983</v>
      </c>
      <c r="E162" s="51"/>
      <c r="F162" s="52" t="s">
        <v>48</v>
      </c>
      <c r="G162" s="51">
        <v>5</v>
      </c>
      <c r="H162" s="51">
        <v>6</v>
      </c>
      <c r="I162" s="48">
        <v>4247.2</v>
      </c>
      <c r="J162" s="48">
        <v>3821.7</v>
      </c>
      <c r="K162" s="48">
        <v>3620.8</v>
      </c>
      <c r="L162" s="53">
        <v>176</v>
      </c>
      <c r="M162" s="51" t="s">
        <v>50</v>
      </c>
      <c r="N162" s="54" t="s">
        <v>367</v>
      </c>
      <c r="O162" s="48">
        <v>224063.98</v>
      </c>
      <c r="P162" s="48">
        <f t="shared" si="13"/>
        <v>52.755693162554159</v>
      </c>
      <c r="Q162" s="48">
        <v>1667.2543911282728</v>
      </c>
    </row>
    <row r="163" spans="1:17" ht="35.25">
      <c r="A163" s="1">
        <v>1</v>
      </c>
      <c r="B163" s="55">
        <f t="shared" si="15"/>
        <v>66</v>
      </c>
      <c r="C163" s="56" t="s">
        <v>307</v>
      </c>
      <c r="D163" s="51">
        <v>1973</v>
      </c>
      <c r="E163" s="51"/>
      <c r="F163" s="52" t="s">
        <v>48</v>
      </c>
      <c r="G163" s="51">
        <v>5</v>
      </c>
      <c r="H163" s="51">
        <v>8</v>
      </c>
      <c r="I163" s="48">
        <v>6143</v>
      </c>
      <c r="J163" s="48">
        <v>6075.43</v>
      </c>
      <c r="K163" s="48">
        <v>5422.03</v>
      </c>
      <c r="L163" s="53">
        <v>275</v>
      </c>
      <c r="M163" s="51" t="s">
        <v>50</v>
      </c>
      <c r="N163" s="54" t="s">
        <v>368</v>
      </c>
      <c r="O163" s="48">
        <v>31696.09</v>
      </c>
      <c r="P163" s="48">
        <f t="shared" si="13"/>
        <v>5.1597086114276411</v>
      </c>
      <c r="Q163" s="48">
        <v>1873.8057870747191</v>
      </c>
    </row>
    <row r="164" spans="1:17" ht="35.25">
      <c r="A164" s="1">
        <v>1</v>
      </c>
      <c r="B164" s="55">
        <f t="shared" si="15"/>
        <v>67</v>
      </c>
      <c r="C164" s="56" t="s">
        <v>308</v>
      </c>
      <c r="D164" s="51">
        <v>1961</v>
      </c>
      <c r="E164" s="51"/>
      <c r="F164" s="52" t="s">
        <v>48</v>
      </c>
      <c r="G164" s="51">
        <v>4</v>
      </c>
      <c r="H164" s="51">
        <v>3</v>
      </c>
      <c r="I164" s="48">
        <v>2176</v>
      </c>
      <c r="J164" s="48">
        <v>2029.3</v>
      </c>
      <c r="K164" s="48">
        <v>1988.8</v>
      </c>
      <c r="L164" s="53">
        <v>89</v>
      </c>
      <c r="M164" s="51" t="s">
        <v>50</v>
      </c>
      <c r="N164" s="54" t="s">
        <v>242</v>
      </c>
      <c r="O164" s="48">
        <v>97154.82</v>
      </c>
      <c r="P164" s="48">
        <f t="shared" si="13"/>
        <v>44.648354779411768</v>
      </c>
      <c r="Q164" s="48">
        <v>2110.2195588235295</v>
      </c>
    </row>
    <row r="165" spans="1:17" ht="35.25">
      <c r="A165" s="1">
        <v>1</v>
      </c>
      <c r="B165" s="55">
        <f t="shared" si="15"/>
        <v>68</v>
      </c>
      <c r="C165" s="56" t="s">
        <v>309</v>
      </c>
      <c r="D165" s="51">
        <v>1961</v>
      </c>
      <c r="E165" s="51"/>
      <c r="F165" s="52" t="s">
        <v>48</v>
      </c>
      <c r="G165" s="51">
        <v>2</v>
      </c>
      <c r="H165" s="51">
        <v>2</v>
      </c>
      <c r="I165" s="48">
        <v>588.42999999999995</v>
      </c>
      <c r="J165" s="48">
        <v>546.92999999999995</v>
      </c>
      <c r="K165" s="48">
        <v>516.08000000000004</v>
      </c>
      <c r="L165" s="53">
        <v>30</v>
      </c>
      <c r="M165" s="51" t="s">
        <v>50</v>
      </c>
      <c r="N165" s="54" t="s">
        <v>169</v>
      </c>
      <c r="O165" s="48">
        <v>115006.25</v>
      </c>
      <c r="P165" s="48">
        <f t="shared" si="13"/>
        <v>195.4459323963768</v>
      </c>
      <c r="Q165" s="48">
        <v>5492.1662389748999</v>
      </c>
    </row>
    <row r="166" spans="1:17" ht="35.25">
      <c r="A166" s="1">
        <v>1</v>
      </c>
      <c r="B166" s="55">
        <f t="shared" si="15"/>
        <v>69</v>
      </c>
      <c r="C166" s="56" t="s">
        <v>310</v>
      </c>
      <c r="D166" s="51">
        <v>1963</v>
      </c>
      <c r="E166" s="51"/>
      <c r="F166" s="52" t="s">
        <v>48</v>
      </c>
      <c r="G166" s="51">
        <v>4</v>
      </c>
      <c r="H166" s="51">
        <v>4</v>
      </c>
      <c r="I166" s="48">
        <v>2368</v>
      </c>
      <c r="J166" s="48">
        <v>2347.9899999999998</v>
      </c>
      <c r="K166" s="48">
        <v>2199.56</v>
      </c>
      <c r="L166" s="53">
        <v>87</v>
      </c>
      <c r="M166" s="51" t="s">
        <v>50</v>
      </c>
      <c r="N166" s="54" t="s">
        <v>369</v>
      </c>
      <c r="O166" s="48">
        <v>1485022.6</v>
      </c>
      <c r="P166" s="48">
        <f t="shared" si="13"/>
        <v>627.12103040540546</v>
      </c>
      <c r="Q166" s="48">
        <v>3261.7274408783783</v>
      </c>
    </row>
    <row r="167" spans="1:17" ht="35.25">
      <c r="A167" s="1">
        <v>1</v>
      </c>
      <c r="B167" s="55">
        <f t="shared" si="15"/>
        <v>70</v>
      </c>
      <c r="C167" s="56" t="s">
        <v>311</v>
      </c>
      <c r="D167" s="51">
        <v>1971</v>
      </c>
      <c r="E167" s="51"/>
      <c r="F167" s="52" t="s">
        <v>48</v>
      </c>
      <c r="G167" s="51">
        <v>4</v>
      </c>
      <c r="H167" s="51">
        <v>1</v>
      </c>
      <c r="I167" s="48">
        <v>1601</v>
      </c>
      <c r="J167" s="48">
        <v>1473.9</v>
      </c>
      <c r="K167" s="48">
        <v>1166.5999999999999</v>
      </c>
      <c r="L167" s="53">
        <v>103</v>
      </c>
      <c r="M167" s="51" t="s">
        <v>50</v>
      </c>
      <c r="N167" s="54" t="s">
        <v>169</v>
      </c>
      <c r="O167" s="48">
        <v>179270.28</v>
      </c>
      <c r="P167" s="48">
        <f t="shared" si="13"/>
        <v>111.97394128669582</v>
      </c>
      <c r="Q167" s="48">
        <v>2603.1179762648344</v>
      </c>
    </row>
    <row r="168" spans="1:17" ht="35.25">
      <c r="A168" s="1">
        <v>1</v>
      </c>
      <c r="B168" s="55">
        <f t="shared" si="15"/>
        <v>71</v>
      </c>
      <c r="C168" s="56" t="s">
        <v>312</v>
      </c>
      <c r="D168" s="51">
        <v>1963</v>
      </c>
      <c r="E168" s="51"/>
      <c r="F168" s="52" t="s">
        <v>48</v>
      </c>
      <c r="G168" s="51">
        <v>2</v>
      </c>
      <c r="H168" s="51">
        <v>2</v>
      </c>
      <c r="I168" s="48">
        <v>1027.9000000000001</v>
      </c>
      <c r="J168" s="48">
        <v>620.86</v>
      </c>
      <c r="K168" s="48">
        <v>620.86</v>
      </c>
      <c r="L168" s="53">
        <v>40</v>
      </c>
      <c r="M168" s="51" t="s">
        <v>50</v>
      </c>
      <c r="N168" s="54" t="s">
        <v>370</v>
      </c>
      <c r="O168" s="48">
        <v>21660.55</v>
      </c>
      <c r="P168" s="48">
        <f t="shared" si="13"/>
        <v>21.072623796089111</v>
      </c>
      <c r="Q168" s="48">
        <v>3392.8890845412975</v>
      </c>
    </row>
    <row r="169" spans="1:17" ht="35.25">
      <c r="A169" s="1">
        <v>1</v>
      </c>
      <c r="B169" s="55">
        <f t="shared" si="15"/>
        <v>72</v>
      </c>
      <c r="C169" s="56" t="s">
        <v>313</v>
      </c>
      <c r="D169" s="51">
        <v>2003</v>
      </c>
      <c r="E169" s="51"/>
      <c r="F169" s="52" t="s">
        <v>48</v>
      </c>
      <c r="G169" s="51">
        <v>5</v>
      </c>
      <c r="H169" s="51">
        <v>8</v>
      </c>
      <c r="I169" s="48">
        <v>6514</v>
      </c>
      <c r="J169" s="48">
        <v>5845.8</v>
      </c>
      <c r="K169" s="48">
        <v>5845.8</v>
      </c>
      <c r="L169" s="53">
        <v>360</v>
      </c>
      <c r="M169" s="51" t="s">
        <v>50</v>
      </c>
      <c r="N169" s="54" t="s">
        <v>371</v>
      </c>
      <c r="O169" s="48">
        <v>825558.04</v>
      </c>
      <c r="P169" s="48">
        <f t="shared" si="13"/>
        <v>126.73595947190667</v>
      </c>
      <c r="Q169" s="48">
        <v>1483.5848311329444</v>
      </c>
    </row>
    <row r="170" spans="1:17" ht="35.25">
      <c r="A170" s="1">
        <v>1</v>
      </c>
      <c r="B170" s="55">
        <f t="shared" si="15"/>
        <v>73</v>
      </c>
      <c r="C170" s="56" t="s">
        <v>314</v>
      </c>
      <c r="D170" s="51">
        <v>1960</v>
      </c>
      <c r="E170" s="51"/>
      <c r="F170" s="52" t="s">
        <v>48</v>
      </c>
      <c r="G170" s="51">
        <v>2</v>
      </c>
      <c r="H170" s="51">
        <v>2</v>
      </c>
      <c r="I170" s="48">
        <v>585.54999999999995</v>
      </c>
      <c r="J170" s="48">
        <v>545.35</v>
      </c>
      <c r="K170" s="48">
        <v>433.53000000000003</v>
      </c>
      <c r="L170" s="53">
        <v>34</v>
      </c>
      <c r="M170" s="51" t="s">
        <v>50</v>
      </c>
      <c r="N170" s="54" t="s">
        <v>370</v>
      </c>
      <c r="O170" s="48">
        <v>58127.710000000006</v>
      </c>
      <c r="P170" s="48">
        <f t="shared" si="13"/>
        <v>99.270275809068423</v>
      </c>
      <c r="Q170" s="48">
        <v>4794.6537443429261</v>
      </c>
    </row>
    <row r="171" spans="1:17" ht="35.25">
      <c r="A171" s="1">
        <v>1</v>
      </c>
      <c r="B171" s="55">
        <f t="shared" si="15"/>
        <v>74</v>
      </c>
      <c r="C171" s="56" t="s">
        <v>236</v>
      </c>
      <c r="D171" s="51">
        <v>1989</v>
      </c>
      <c r="E171" s="51"/>
      <c r="F171" s="52" t="s">
        <v>48</v>
      </c>
      <c r="G171" s="51">
        <v>9</v>
      </c>
      <c r="H171" s="51">
        <v>1</v>
      </c>
      <c r="I171" s="48">
        <v>3494</v>
      </c>
      <c r="J171" s="48">
        <v>3277.11</v>
      </c>
      <c r="K171" s="48">
        <v>3141.61</v>
      </c>
      <c r="L171" s="53">
        <v>159</v>
      </c>
      <c r="M171" s="51" t="s">
        <v>50</v>
      </c>
      <c r="N171" s="54" t="s">
        <v>372</v>
      </c>
      <c r="O171" s="48">
        <v>174209.85</v>
      </c>
      <c r="P171" s="48">
        <f t="shared" si="13"/>
        <v>49.859716657126505</v>
      </c>
      <c r="Q171" s="48">
        <v>889.23216370921568</v>
      </c>
    </row>
    <row r="172" spans="1:17" ht="35.25">
      <c r="A172" s="1">
        <v>1</v>
      </c>
      <c r="B172" s="55">
        <f t="shared" si="15"/>
        <v>75</v>
      </c>
      <c r="C172" s="56" t="s">
        <v>315</v>
      </c>
      <c r="D172" s="51">
        <v>1987</v>
      </c>
      <c r="E172" s="51"/>
      <c r="F172" s="52" t="s">
        <v>60</v>
      </c>
      <c r="G172" s="51">
        <v>5</v>
      </c>
      <c r="H172" s="51">
        <v>6</v>
      </c>
      <c r="I172" s="48">
        <v>4362</v>
      </c>
      <c r="J172" s="48">
        <v>3933.6</v>
      </c>
      <c r="K172" s="48">
        <v>3462.6</v>
      </c>
      <c r="L172" s="53">
        <v>234</v>
      </c>
      <c r="M172" s="54" t="s">
        <v>50</v>
      </c>
      <c r="N172" s="57" t="s">
        <v>65</v>
      </c>
      <c r="O172" s="48">
        <v>101365.01</v>
      </c>
      <c r="P172" s="48">
        <f t="shared" si="13"/>
        <v>23.238195781751489</v>
      </c>
      <c r="Q172" s="48">
        <v>1526.1157657038054</v>
      </c>
    </row>
    <row r="173" spans="1:17" ht="35.25">
      <c r="A173" s="1">
        <v>1</v>
      </c>
      <c r="B173" s="55">
        <f t="shared" si="15"/>
        <v>76</v>
      </c>
      <c r="C173" s="56" t="s">
        <v>352</v>
      </c>
      <c r="D173" s="51">
        <v>1966</v>
      </c>
      <c r="E173" s="51"/>
      <c r="F173" s="52" t="s">
        <v>48</v>
      </c>
      <c r="G173" s="51">
        <v>5</v>
      </c>
      <c r="H173" s="51">
        <v>4</v>
      </c>
      <c r="I173" s="48">
        <v>3416</v>
      </c>
      <c r="J173" s="48">
        <v>3392</v>
      </c>
      <c r="K173" s="48">
        <v>2976.63</v>
      </c>
      <c r="L173" s="53">
        <v>150</v>
      </c>
      <c r="M173" s="54" t="s">
        <v>50</v>
      </c>
      <c r="N173" s="57" t="s">
        <v>370</v>
      </c>
      <c r="O173" s="48">
        <v>70328.740000000005</v>
      </c>
      <c r="P173" s="48">
        <f t="shared" si="13"/>
        <v>20.588038641686182</v>
      </c>
      <c r="Q173" s="48">
        <v>1596.8962617096017</v>
      </c>
    </row>
    <row r="174" spans="1:17" ht="35.25">
      <c r="B174" s="55">
        <f t="shared" si="15"/>
        <v>77</v>
      </c>
      <c r="C174" s="56" t="s">
        <v>563</v>
      </c>
      <c r="D174" s="51">
        <v>1972</v>
      </c>
      <c r="E174" s="51"/>
      <c r="F174" s="52" t="s">
        <v>48</v>
      </c>
      <c r="G174" s="51">
        <v>5</v>
      </c>
      <c r="H174" s="51">
        <v>6</v>
      </c>
      <c r="I174" s="48">
        <v>4562.8</v>
      </c>
      <c r="J174" s="48">
        <v>4499.5</v>
      </c>
      <c r="K174" s="48">
        <v>3634.1</v>
      </c>
      <c r="L174" s="53">
        <v>237</v>
      </c>
      <c r="M174" s="57" t="s">
        <v>50</v>
      </c>
      <c r="N174" s="54" t="s">
        <v>66</v>
      </c>
      <c r="O174" s="48">
        <v>53102.53</v>
      </c>
      <c r="P174" s="48">
        <f t="shared" si="13"/>
        <v>11.63814543701236</v>
      </c>
      <c r="Q174" s="48">
        <v>1997.6872775488735</v>
      </c>
    </row>
    <row r="175" spans="1:17" ht="35.25">
      <c r="B175" s="55">
        <f t="shared" si="15"/>
        <v>78</v>
      </c>
      <c r="C175" s="56" t="s">
        <v>564</v>
      </c>
      <c r="D175" s="51">
        <v>1963</v>
      </c>
      <c r="E175" s="51"/>
      <c r="F175" s="52" t="s">
        <v>48</v>
      </c>
      <c r="G175" s="51">
        <v>2</v>
      </c>
      <c r="H175" s="51">
        <v>1</v>
      </c>
      <c r="I175" s="48">
        <v>471.59</v>
      </c>
      <c r="J175" s="48">
        <v>415.21</v>
      </c>
      <c r="K175" s="48">
        <v>312.26</v>
      </c>
      <c r="L175" s="53">
        <v>21</v>
      </c>
      <c r="M175" s="57" t="s">
        <v>50</v>
      </c>
      <c r="N175" s="54" t="s">
        <v>573</v>
      </c>
      <c r="O175" s="48">
        <v>110786.03</v>
      </c>
      <c r="P175" s="48">
        <f t="shared" si="13"/>
        <v>234.92022731610086</v>
      </c>
      <c r="Q175" s="48">
        <v>6614.7607031531634</v>
      </c>
    </row>
    <row r="176" spans="1:17" ht="35.25">
      <c r="B176" s="105" t="s">
        <v>259</v>
      </c>
      <c r="C176" s="56"/>
      <c r="D176" s="51" t="s">
        <v>90</v>
      </c>
      <c r="E176" s="51" t="s">
        <v>90</v>
      </c>
      <c r="F176" s="52" t="s">
        <v>90</v>
      </c>
      <c r="G176" s="51" t="s">
        <v>90</v>
      </c>
      <c r="H176" s="51" t="s">
        <v>90</v>
      </c>
      <c r="I176" s="48">
        <f>SUM(I177:I182)</f>
        <v>45795.1</v>
      </c>
      <c r="J176" s="48">
        <f t="shared" ref="J176:L176" si="16">SUM(J177:J182)</f>
        <v>40691.799999999996</v>
      </c>
      <c r="K176" s="48">
        <f t="shared" si="16"/>
        <v>37862.1</v>
      </c>
      <c r="L176" s="53">
        <f t="shared" si="16"/>
        <v>2257</v>
      </c>
      <c r="M176" s="51" t="s">
        <v>131</v>
      </c>
      <c r="N176" s="54" t="s">
        <v>131</v>
      </c>
      <c r="O176" s="48">
        <v>1550578.68</v>
      </c>
      <c r="P176" s="48">
        <f t="shared" si="13"/>
        <v>33.859052169336891</v>
      </c>
      <c r="Q176" s="48">
        <f>MAX(Q177:Q182)</f>
        <v>875.92932069326514</v>
      </c>
    </row>
    <row r="177" spans="1:17" ht="35.25">
      <c r="A177" s="1">
        <v>1</v>
      </c>
      <c r="B177" s="55">
        <f>B175+1</f>
        <v>79</v>
      </c>
      <c r="C177" s="56" t="s">
        <v>316</v>
      </c>
      <c r="D177" s="51">
        <v>1978</v>
      </c>
      <c r="E177" s="51"/>
      <c r="F177" s="52" t="s">
        <v>60</v>
      </c>
      <c r="G177" s="51">
        <v>9</v>
      </c>
      <c r="H177" s="51">
        <v>4</v>
      </c>
      <c r="I177" s="48">
        <v>8707</v>
      </c>
      <c r="J177" s="48">
        <v>7693.6</v>
      </c>
      <c r="K177" s="48">
        <v>7347.1</v>
      </c>
      <c r="L177" s="53">
        <v>357</v>
      </c>
      <c r="M177" s="51" t="s">
        <v>50</v>
      </c>
      <c r="N177" s="54" t="s">
        <v>64</v>
      </c>
      <c r="O177" s="48">
        <v>382556.25999999995</v>
      </c>
      <c r="P177" s="48">
        <f t="shared" si="13"/>
        <v>43.936632594464221</v>
      </c>
      <c r="Q177" s="48">
        <v>831.25755036177782</v>
      </c>
    </row>
    <row r="178" spans="1:17" ht="35.25">
      <c r="A178" s="1">
        <v>1</v>
      </c>
      <c r="B178" s="55">
        <f t="shared" ref="B178:B182" si="17">B177+1</f>
        <v>80</v>
      </c>
      <c r="C178" s="56" t="s">
        <v>317</v>
      </c>
      <c r="D178" s="51">
        <v>1981</v>
      </c>
      <c r="E178" s="51"/>
      <c r="F178" s="52" t="s">
        <v>60</v>
      </c>
      <c r="G178" s="51">
        <v>9</v>
      </c>
      <c r="H178" s="51">
        <v>4</v>
      </c>
      <c r="I178" s="48">
        <v>8838.4</v>
      </c>
      <c r="J178" s="48">
        <v>7825</v>
      </c>
      <c r="K178" s="48">
        <v>7353.9</v>
      </c>
      <c r="L178" s="53">
        <v>387</v>
      </c>
      <c r="M178" s="51" t="s">
        <v>50</v>
      </c>
      <c r="N178" s="54" t="s">
        <v>64</v>
      </c>
      <c r="O178" s="48">
        <v>381284.05</v>
      </c>
      <c r="P178" s="48">
        <f t="shared" si="13"/>
        <v>43.139487916364956</v>
      </c>
      <c r="Q178" s="48">
        <v>841.91120078294728</v>
      </c>
    </row>
    <row r="179" spans="1:17" ht="35.25">
      <c r="A179" s="1">
        <v>1</v>
      </c>
      <c r="B179" s="55">
        <f t="shared" si="17"/>
        <v>81</v>
      </c>
      <c r="C179" s="56" t="s">
        <v>81</v>
      </c>
      <c r="D179" s="51">
        <v>1982</v>
      </c>
      <c r="E179" s="51"/>
      <c r="F179" s="52" t="s">
        <v>60</v>
      </c>
      <c r="G179" s="51">
        <v>9</v>
      </c>
      <c r="H179" s="51">
        <v>4</v>
      </c>
      <c r="I179" s="48">
        <v>8597</v>
      </c>
      <c r="J179" s="48">
        <v>7716.1</v>
      </c>
      <c r="K179" s="48">
        <v>7190.6</v>
      </c>
      <c r="L179" s="53">
        <v>399</v>
      </c>
      <c r="M179" s="51" t="s">
        <v>50</v>
      </c>
      <c r="N179" s="54" t="s">
        <v>64</v>
      </c>
      <c r="O179" s="48">
        <v>292385.17000000004</v>
      </c>
      <c r="P179" s="48">
        <f t="shared" si="13"/>
        <v>34.010139583575672</v>
      </c>
      <c r="Q179" s="48">
        <v>875.92932069326514</v>
      </c>
    </row>
    <row r="180" spans="1:17" ht="35.25">
      <c r="A180" s="1">
        <v>1</v>
      </c>
      <c r="B180" s="55">
        <f t="shared" si="17"/>
        <v>82</v>
      </c>
      <c r="C180" s="56" t="s">
        <v>318</v>
      </c>
      <c r="D180" s="51">
        <v>1983</v>
      </c>
      <c r="E180" s="51"/>
      <c r="F180" s="52" t="s">
        <v>60</v>
      </c>
      <c r="G180" s="51">
        <v>9</v>
      </c>
      <c r="H180" s="51">
        <v>4</v>
      </c>
      <c r="I180" s="48">
        <v>8601.7999999999993</v>
      </c>
      <c r="J180" s="48">
        <v>7730</v>
      </c>
      <c r="K180" s="48">
        <v>7318.9</v>
      </c>
      <c r="L180" s="53">
        <v>404</v>
      </c>
      <c r="M180" s="51" t="s">
        <v>50</v>
      </c>
      <c r="N180" s="54" t="s">
        <v>64</v>
      </c>
      <c r="O180" s="48">
        <v>292385.17000000004</v>
      </c>
      <c r="P180" s="48">
        <f t="shared" si="13"/>
        <v>33.991161152316963</v>
      </c>
      <c r="Q180" s="48">
        <v>874.71522937059694</v>
      </c>
    </row>
    <row r="181" spans="1:17" ht="35.25">
      <c r="A181" s="1">
        <v>1</v>
      </c>
      <c r="B181" s="55">
        <f t="shared" si="17"/>
        <v>83</v>
      </c>
      <c r="C181" s="56" t="s">
        <v>319</v>
      </c>
      <c r="D181" s="51">
        <v>1987</v>
      </c>
      <c r="E181" s="51"/>
      <c r="F181" s="52" t="s">
        <v>48</v>
      </c>
      <c r="G181" s="51">
        <v>12</v>
      </c>
      <c r="H181" s="51">
        <v>1</v>
      </c>
      <c r="I181" s="48">
        <v>4535.8</v>
      </c>
      <c r="J181" s="48">
        <v>3907.5</v>
      </c>
      <c r="K181" s="48">
        <v>3078</v>
      </c>
      <c r="L181" s="53">
        <v>448</v>
      </c>
      <c r="M181" s="51" t="s">
        <v>50</v>
      </c>
      <c r="N181" s="54" t="s">
        <v>64</v>
      </c>
      <c r="O181" s="48">
        <v>193920.28</v>
      </c>
      <c r="P181" s="48">
        <f t="shared" si="13"/>
        <v>42.753269544512541</v>
      </c>
      <c r="Q181" s="48">
        <v>710.57385819480578</v>
      </c>
    </row>
    <row r="182" spans="1:17" ht="35.25">
      <c r="A182" s="1">
        <v>1</v>
      </c>
      <c r="B182" s="55">
        <f t="shared" si="17"/>
        <v>84</v>
      </c>
      <c r="C182" s="56" t="s">
        <v>896</v>
      </c>
      <c r="D182" s="51">
        <v>1984</v>
      </c>
      <c r="E182" s="51"/>
      <c r="F182" s="52" t="s">
        <v>60</v>
      </c>
      <c r="G182" s="51">
        <v>9</v>
      </c>
      <c r="H182" s="51">
        <v>3</v>
      </c>
      <c r="I182" s="48">
        <v>6515.1</v>
      </c>
      <c r="J182" s="48">
        <v>5819.6</v>
      </c>
      <c r="K182" s="48">
        <v>5573.6</v>
      </c>
      <c r="L182" s="53">
        <v>262</v>
      </c>
      <c r="M182" s="51" t="s">
        <v>50</v>
      </c>
      <c r="N182" s="54" t="s">
        <v>64</v>
      </c>
      <c r="O182" s="48">
        <v>8047.75</v>
      </c>
      <c r="P182" s="48">
        <f t="shared" si="13"/>
        <v>1.2352458135715492</v>
      </c>
      <c r="Q182" s="48">
        <v>747.89162253841073</v>
      </c>
    </row>
    <row r="183" spans="1:17" ht="35.25">
      <c r="B183" s="105" t="s">
        <v>129</v>
      </c>
      <c r="C183" s="56"/>
      <c r="D183" s="51" t="s">
        <v>90</v>
      </c>
      <c r="E183" s="51" t="s">
        <v>90</v>
      </c>
      <c r="F183" s="52" t="s">
        <v>90</v>
      </c>
      <c r="G183" s="51" t="s">
        <v>90</v>
      </c>
      <c r="H183" s="51" t="s">
        <v>90</v>
      </c>
      <c r="I183" s="48">
        <f>SUM(I184:I185)</f>
        <v>6959.2</v>
      </c>
      <c r="J183" s="48">
        <f t="shared" ref="J183:L183" si="18">SUM(J184:J185)</f>
        <v>6276.4</v>
      </c>
      <c r="K183" s="48">
        <f t="shared" si="18"/>
        <v>6276.4</v>
      </c>
      <c r="L183" s="53">
        <f t="shared" si="18"/>
        <v>259</v>
      </c>
      <c r="M183" s="51" t="s">
        <v>131</v>
      </c>
      <c r="N183" s="54" t="s">
        <v>131</v>
      </c>
      <c r="O183" s="48">
        <v>3231773.15</v>
      </c>
      <c r="P183" s="48">
        <f t="shared" si="13"/>
        <v>464.38860070123002</v>
      </c>
      <c r="Q183" s="48">
        <f>MAX(Q184:Q185)</f>
        <v>1460.3348625835447</v>
      </c>
    </row>
    <row r="184" spans="1:17" ht="35.25">
      <c r="A184" s="1">
        <v>1</v>
      </c>
      <c r="B184" s="55">
        <f>B182+1</f>
        <v>85</v>
      </c>
      <c r="C184" s="56" t="s">
        <v>320</v>
      </c>
      <c r="D184" s="51">
        <v>1988</v>
      </c>
      <c r="E184" s="51"/>
      <c r="F184" s="52" t="s">
        <v>60</v>
      </c>
      <c r="G184" s="51">
        <v>5</v>
      </c>
      <c r="H184" s="51">
        <v>4</v>
      </c>
      <c r="I184" s="48">
        <v>3471.2</v>
      </c>
      <c r="J184" s="48">
        <v>3130.3</v>
      </c>
      <c r="K184" s="48">
        <v>3130.3</v>
      </c>
      <c r="L184" s="53">
        <v>113</v>
      </c>
      <c r="M184" s="51" t="s">
        <v>47</v>
      </c>
      <c r="N184" s="54" t="s">
        <v>49</v>
      </c>
      <c r="O184" s="48">
        <v>1617633.46</v>
      </c>
      <c r="P184" s="48">
        <f t="shared" si="13"/>
        <v>466.01563148190831</v>
      </c>
      <c r="Q184" s="48">
        <v>1460.3348625835447</v>
      </c>
    </row>
    <row r="185" spans="1:17" ht="35.25">
      <c r="A185" s="1">
        <v>1</v>
      </c>
      <c r="B185" s="55">
        <f t="shared" ref="B185" si="19">B184+1</f>
        <v>86</v>
      </c>
      <c r="C185" s="56" t="s">
        <v>321</v>
      </c>
      <c r="D185" s="51">
        <v>1989</v>
      </c>
      <c r="E185" s="51"/>
      <c r="F185" s="52" t="s">
        <v>48</v>
      </c>
      <c r="G185" s="51">
        <v>5</v>
      </c>
      <c r="H185" s="51">
        <v>4</v>
      </c>
      <c r="I185" s="48">
        <v>3488</v>
      </c>
      <c r="J185" s="48">
        <v>3146.1</v>
      </c>
      <c r="K185" s="48">
        <v>3146.1</v>
      </c>
      <c r="L185" s="53">
        <v>146</v>
      </c>
      <c r="M185" s="51" t="s">
        <v>47</v>
      </c>
      <c r="N185" s="54" t="s">
        <v>49</v>
      </c>
      <c r="O185" s="48">
        <v>1614139.69</v>
      </c>
      <c r="P185" s="48">
        <f t="shared" si="13"/>
        <v>462.7694065366972</v>
      </c>
      <c r="Q185" s="48">
        <v>1453.3011396215597</v>
      </c>
    </row>
    <row r="186" spans="1:17" ht="35.25">
      <c r="B186" s="105" t="s">
        <v>260</v>
      </c>
      <c r="C186" s="56"/>
      <c r="D186" s="51" t="s">
        <v>90</v>
      </c>
      <c r="E186" s="51" t="s">
        <v>90</v>
      </c>
      <c r="F186" s="52" t="s">
        <v>90</v>
      </c>
      <c r="G186" s="51" t="s">
        <v>90</v>
      </c>
      <c r="H186" s="51" t="s">
        <v>90</v>
      </c>
      <c r="I186" s="48">
        <f>I187+I188</f>
        <v>1317.6</v>
      </c>
      <c r="J186" s="48">
        <f t="shared" ref="J186:L186" si="20">J187+J188</f>
        <v>1189.5999999999999</v>
      </c>
      <c r="K186" s="48">
        <f t="shared" si="20"/>
        <v>1093.8</v>
      </c>
      <c r="L186" s="53">
        <f t="shared" si="20"/>
        <v>50</v>
      </c>
      <c r="M186" s="51" t="s">
        <v>131</v>
      </c>
      <c r="N186" s="54" t="s">
        <v>131</v>
      </c>
      <c r="O186" s="48">
        <v>35323.410000000003</v>
      </c>
      <c r="P186" s="48">
        <f t="shared" si="13"/>
        <v>26.80890255009108</v>
      </c>
      <c r="Q186" s="48">
        <f>MAX(Q187:Q188)</f>
        <v>5603.9766814159293</v>
      </c>
    </row>
    <row r="187" spans="1:17" ht="35.25">
      <c r="A187" s="1">
        <v>1</v>
      </c>
      <c r="B187" s="55">
        <f>B185+1</f>
        <v>87</v>
      </c>
      <c r="C187" s="56" t="s">
        <v>322</v>
      </c>
      <c r="D187" s="51">
        <v>1985</v>
      </c>
      <c r="E187" s="51"/>
      <c r="F187" s="52" t="s">
        <v>60</v>
      </c>
      <c r="G187" s="51">
        <v>2</v>
      </c>
      <c r="H187" s="51">
        <v>2</v>
      </c>
      <c r="I187" s="48">
        <v>978.6</v>
      </c>
      <c r="J187" s="48">
        <v>880.3</v>
      </c>
      <c r="K187" s="48">
        <v>821.4</v>
      </c>
      <c r="L187" s="53">
        <v>30</v>
      </c>
      <c r="M187" s="51" t="s">
        <v>47</v>
      </c>
      <c r="N187" s="54" t="s">
        <v>49</v>
      </c>
      <c r="O187" s="48">
        <v>11164.380000000001</v>
      </c>
      <c r="P187" s="48">
        <f t="shared" si="13"/>
        <v>11.408522378908646</v>
      </c>
      <c r="Q187" s="48">
        <v>3006.6114408338444</v>
      </c>
    </row>
    <row r="188" spans="1:17" ht="35.25">
      <c r="B188" s="55">
        <f t="shared" ref="B188" si="21">B187+1</f>
        <v>88</v>
      </c>
      <c r="C188" s="56" t="s">
        <v>565</v>
      </c>
      <c r="D188" s="51" t="s">
        <v>74</v>
      </c>
      <c r="E188" s="51"/>
      <c r="F188" s="52" t="s">
        <v>48</v>
      </c>
      <c r="G188" s="51">
        <v>2</v>
      </c>
      <c r="H188" s="51">
        <v>1</v>
      </c>
      <c r="I188" s="48">
        <v>339</v>
      </c>
      <c r="J188" s="48">
        <v>309.3</v>
      </c>
      <c r="K188" s="48">
        <v>272.39999999999998</v>
      </c>
      <c r="L188" s="53">
        <v>20</v>
      </c>
      <c r="M188" s="57" t="s">
        <v>50</v>
      </c>
      <c r="N188" s="54" t="s">
        <v>574</v>
      </c>
      <c r="O188" s="48">
        <v>24159.03</v>
      </c>
      <c r="P188" s="48">
        <f t="shared" si="13"/>
        <v>71.265575221238933</v>
      </c>
      <c r="Q188" s="48">
        <v>5603.9766814159293</v>
      </c>
    </row>
    <row r="189" spans="1:17" ht="35.25">
      <c r="B189" s="105" t="s">
        <v>122</v>
      </c>
      <c r="C189" s="56"/>
      <c r="D189" s="51" t="s">
        <v>90</v>
      </c>
      <c r="E189" s="51" t="s">
        <v>90</v>
      </c>
      <c r="F189" s="52" t="s">
        <v>90</v>
      </c>
      <c r="G189" s="51" t="s">
        <v>90</v>
      </c>
      <c r="H189" s="51" t="s">
        <v>90</v>
      </c>
      <c r="I189" s="48">
        <f>I190</f>
        <v>3121</v>
      </c>
      <c r="J189" s="48">
        <f t="shared" ref="J189:L189" si="22">J190</f>
        <v>1791</v>
      </c>
      <c r="K189" s="48">
        <f t="shared" si="22"/>
        <v>1791</v>
      </c>
      <c r="L189" s="53">
        <f t="shared" si="22"/>
        <v>171</v>
      </c>
      <c r="M189" s="51" t="s">
        <v>131</v>
      </c>
      <c r="N189" s="54" t="s">
        <v>131</v>
      </c>
      <c r="O189" s="48">
        <v>778244.79</v>
      </c>
      <c r="P189" s="48">
        <f t="shared" si="13"/>
        <v>249.35751041332907</v>
      </c>
      <c r="Q189" s="48">
        <f>Q190</f>
        <v>1944.0371595642421</v>
      </c>
    </row>
    <row r="190" spans="1:17" ht="35.25">
      <c r="A190" s="1">
        <v>1</v>
      </c>
      <c r="B190" s="55">
        <f>B188+1</f>
        <v>89</v>
      </c>
      <c r="C190" s="56" t="s">
        <v>323</v>
      </c>
      <c r="D190" s="51">
        <v>1986</v>
      </c>
      <c r="E190" s="51"/>
      <c r="F190" s="52" t="s">
        <v>60</v>
      </c>
      <c r="G190" s="51">
        <v>5</v>
      </c>
      <c r="H190" s="51">
        <v>4</v>
      </c>
      <c r="I190" s="48">
        <v>3121</v>
      </c>
      <c r="J190" s="48">
        <v>1791</v>
      </c>
      <c r="K190" s="48">
        <v>1791</v>
      </c>
      <c r="L190" s="53">
        <v>171</v>
      </c>
      <c r="M190" s="51" t="s">
        <v>71</v>
      </c>
      <c r="N190" s="54" t="s">
        <v>373</v>
      </c>
      <c r="O190" s="48">
        <v>778244.79</v>
      </c>
      <c r="P190" s="48">
        <f t="shared" si="13"/>
        <v>249.35751041332907</v>
      </c>
      <c r="Q190" s="48">
        <v>1944.0371595642421</v>
      </c>
    </row>
    <row r="191" spans="1:17" ht="35.25">
      <c r="B191" s="105" t="s">
        <v>113</v>
      </c>
      <c r="C191" s="56"/>
      <c r="D191" s="51" t="s">
        <v>90</v>
      </c>
      <c r="E191" s="51" t="s">
        <v>90</v>
      </c>
      <c r="F191" s="52" t="s">
        <v>90</v>
      </c>
      <c r="G191" s="51" t="s">
        <v>90</v>
      </c>
      <c r="H191" s="51" t="s">
        <v>90</v>
      </c>
      <c r="I191" s="48">
        <f>SUM(I192:I196)</f>
        <v>9754.2199999999993</v>
      </c>
      <c r="J191" s="48">
        <f t="shared" ref="J191:L191" si="23">SUM(J192:J196)</f>
        <v>8433.5399999999991</v>
      </c>
      <c r="K191" s="48">
        <f t="shared" si="23"/>
        <v>8193.64</v>
      </c>
      <c r="L191" s="53">
        <f t="shared" si="23"/>
        <v>354</v>
      </c>
      <c r="M191" s="51" t="s">
        <v>131</v>
      </c>
      <c r="N191" s="54" t="s">
        <v>131</v>
      </c>
      <c r="O191" s="48">
        <v>1856585.2200000002</v>
      </c>
      <c r="P191" s="48">
        <f t="shared" si="13"/>
        <v>190.33661533162061</v>
      </c>
      <c r="Q191" s="48">
        <f>MAX(Q192:Q196)</f>
        <v>5656.5870455557206</v>
      </c>
    </row>
    <row r="192" spans="1:17" ht="35.25">
      <c r="A192" s="1">
        <v>1</v>
      </c>
      <c r="B192" s="55">
        <f>B190+1</f>
        <v>90</v>
      </c>
      <c r="C192" s="56" t="s">
        <v>324</v>
      </c>
      <c r="D192" s="51">
        <v>1976</v>
      </c>
      <c r="E192" s="51"/>
      <c r="F192" s="52" t="s">
        <v>48</v>
      </c>
      <c r="G192" s="51">
        <v>5</v>
      </c>
      <c r="H192" s="51">
        <v>4</v>
      </c>
      <c r="I192" s="48">
        <v>3560.34</v>
      </c>
      <c r="J192" s="48">
        <v>3122.34</v>
      </c>
      <c r="K192" s="48">
        <v>3091.94</v>
      </c>
      <c r="L192" s="53">
        <v>145</v>
      </c>
      <c r="M192" s="51" t="s">
        <v>50</v>
      </c>
      <c r="N192" s="54" t="s">
        <v>374</v>
      </c>
      <c r="O192" s="48">
        <v>672709.20000000007</v>
      </c>
      <c r="P192" s="48">
        <f t="shared" si="13"/>
        <v>188.94521309762553</v>
      </c>
      <c r="Q192" s="48">
        <v>1678.7373621620407</v>
      </c>
    </row>
    <row r="193" spans="1:17" ht="35.25">
      <c r="A193" s="1">
        <v>1</v>
      </c>
      <c r="B193" s="55">
        <f t="shared" ref="B193:B196" si="24">B192+1</f>
        <v>91</v>
      </c>
      <c r="C193" s="56" t="s">
        <v>325</v>
      </c>
      <c r="D193" s="51">
        <v>1958</v>
      </c>
      <c r="E193" s="51"/>
      <c r="F193" s="52" t="s">
        <v>48</v>
      </c>
      <c r="G193" s="51">
        <v>2</v>
      </c>
      <c r="H193" s="51">
        <v>2</v>
      </c>
      <c r="I193" s="48">
        <v>673.9</v>
      </c>
      <c r="J193" s="48">
        <v>615.9</v>
      </c>
      <c r="K193" s="48">
        <v>562.29999999999995</v>
      </c>
      <c r="L193" s="53">
        <v>32</v>
      </c>
      <c r="M193" s="51" t="s">
        <v>47</v>
      </c>
      <c r="N193" s="54" t="s">
        <v>49</v>
      </c>
      <c r="O193" s="48">
        <v>5758.94</v>
      </c>
      <c r="P193" s="48">
        <f t="shared" si="13"/>
        <v>8.5456892714052533</v>
      </c>
      <c r="Q193" s="48">
        <v>5656.5870455557206</v>
      </c>
    </row>
    <row r="194" spans="1:17" ht="35.25">
      <c r="A194" s="1">
        <v>1</v>
      </c>
      <c r="B194" s="55">
        <f t="shared" si="24"/>
        <v>92</v>
      </c>
      <c r="C194" s="56" t="s">
        <v>326</v>
      </c>
      <c r="D194" s="51">
        <v>1975</v>
      </c>
      <c r="E194" s="51"/>
      <c r="F194" s="52" t="s">
        <v>48</v>
      </c>
      <c r="G194" s="51">
        <v>2</v>
      </c>
      <c r="H194" s="51">
        <v>2</v>
      </c>
      <c r="I194" s="48">
        <v>768.5</v>
      </c>
      <c r="J194" s="48">
        <v>710</v>
      </c>
      <c r="K194" s="48">
        <v>655.20000000000005</v>
      </c>
      <c r="L194" s="53">
        <v>38</v>
      </c>
      <c r="M194" s="51" t="s">
        <v>47</v>
      </c>
      <c r="N194" s="54" t="s">
        <v>49</v>
      </c>
      <c r="O194" s="48">
        <v>233459.54</v>
      </c>
      <c r="P194" s="48">
        <f t="shared" si="13"/>
        <v>303.78599869876382</v>
      </c>
      <c r="Q194" s="48">
        <v>1127.1445361093038</v>
      </c>
    </row>
    <row r="195" spans="1:17" ht="35.25">
      <c r="A195" s="1">
        <v>1</v>
      </c>
      <c r="B195" s="55">
        <f t="shared" si="24"/>
        <v>93</v>
      </c>
      <c r="C195" s="56" t="s">
        <v>353</v>
      </c>
      <c r="D195" s="51">
        <v>1984</v>
      </c>
      <c r="E195" s="51"/>
      <c r="F195" s="52" t="s">
        <v>60</v>
      </c>
      <c r="G195" s="51">
        <v>4</v>
      </c>
      <c r="H195" s="51">
        <v>2</v>
      </c>
      <c r="I195" s="48">
        <v>1287.08</v>
      </c>
      <c r="J195" s="48">
        <v>1127.9000000000001</v>
      </c>
      <c r="K195" s="48">
        <v>1026.8</v>
      </c>
      <c r="L195" s="53">
        <v>51</v>
      </c>
      <c r="M195" s="51" t="s">
        <v>47</v>
      </c>
      <c r="N195" s="54" t="s">
        <v>49</v>
      </c>
      <c r="O195" s="48">
        <v>57671.29</v>
      </c>
      <c r="P195" s="48">
        <f t="shared" si="13"/>
        <v>44.807851881778916</v>
      </c>
      <c r="Q195" s="48">
        <v>2462.4469963017063</v>
      </c>
    </row>
    <row r="196" spans="1:17" ht="35.25">
      <c r="A196" s="1">
        <v>1</v>
      </c>
      <c r="B196" s="55">
        <f t="shared" si="24"/>
        <v>94</v>
      </c>
      <c r="C196" s="56" t="s">
        <v>893</v>
      </c>
      <c r="D196" s="51">
        <v>1971</v>
      </c>
      <c r="E196" s="51"/>
      <c r="F196" s="52" t="s">
        <v>48</v>
      </c>
      <c r="G196" s="51">
        <v>5</v>
      </c>
      <c r="H196" s="51">
        <v>4</v>
      </c>
      <c r="I196" s="48">
        <v>3464.4</v>
      </c>
      <c r="J196" s="48">
        <v>2857.4</v>
      </c>
      <c r="K196" s="48">
        <f>J196</f>
        <v>2857.4</v>
      </c>
      <c r="L196" s="53">
        <v>88</v>
      </c>
      <c r="M196" s="51" t="s">
        <v>47</v>
      </c>
      <c r="N196" s="54" t="s">
        <v>49</v>
      </c>
      <c r="O196" s="48">
        <v>886986.25</v>
      </c>
      <c r="P196" s="48">
        <f t="shared" si="13"/>
        <v>256.02882172959244</v>
      </c>
      <c r="Q196" s="48">
        <v>1763.2250262671748</v>
      </c>
    </row>
    <row r="197" spans="1:17" ht="35.25">
      <c r="B197" s="105" t="s">
        <v>125</v>
      </c>
      <c r="C197" s="56"/>
      <c r="D197" s="51" t="s">
        <v>90</v>
      </c>
      <c r="E197" s="51" t="s">
        <v>90</v>
      </c>
      <c r="F197" s="52" t="s">
        <v>90</v>
      </c>
      <c r="G197" s="51" t="s">
        <v>90</v>
      </c>
      <c r="H197" s="51" t="s">
        <v>90</v>
      </c>
      <c r="I197" s="48">
        <f>I198</f>
        <v>5085.1000000000004</v>
      </c>
      <c r="J197" s="48">
        <f t="shared" ref="J197:L197" si="25">J198</f>
        <v>4673.5</v>
      </c>
      <c r="K197" s="48">
        <f t="shared" si="25"/>
        <v>4551.8</v>
      </c>
      <c r="L197" s="53">
        <f t="shared" si="25"/>
        <v>199</v>
      </c>
      <c r="M197" s="51" t="s">
        <v>131</v>
      </c>
      <c r="N197" s="54" t="s">
        <v>131</v>
      </c>
      <c r="O197" s="48">
        <v>425208.96</v>
      </c>
      <c r="P197" s="48">
        <f t="shared" si="13"/>
        <v>83.618603370631845</v>
      </c>
      <c r="Q197" s="48">
        <f>Q198</f>
        <v>1500.498894810328</v>
      </c>
    </row>
    <row r="198" spans="1:17" ht="35.25">
      <c r="A198" s="1">
        <v>1</v>
      </c>
      <c r="B198" s="55">
        <f>B196+1</f>
        <v>95</v>
      </c>
      <c r="C198" s="56" t="s">
        <v>327</v>
      </c>
      <c r="D198" s="51">
        <v>1982</v>
      </c>
      <c r="E198" s="51"/>
      <c r="F198" s="52" t="s">
        <v>60</v>
      </c>
      <c r="G198" s="51">
        <v>5</v>
      </c>
      <c r="H198" s="51">
        <v>6</v>
      </c>
      <c r="I198" s="48">
        <v>5085.1000000000004</v>
      </c>
      <c r="J198" s="48">
        <v>4673.5</v>
      </c>
      <c r="K198" s="48">
        <v>4551.8</v>
      </c>
      <c r="L198" s="53">
        <v>199</v>
      </c>
      <c r="M198" s="51" t="s">
        <v>71</v>
      </c>
      <c r="N198" s="54" t="s">
        <v>375</v>
      </c>
      <c r="O198" s="48">
        <v>425208.96</v>
      </c>
      <c r="P198" s="48">
        <f t="shared" si="13"/>
        <v>83.618603370631845</v>
      </c>
      <c r="Q198" s="48">
        <v>1500.498894810328</v>
      </c>
    </row>
    <row r="199" spans="1:17" ht="35.25">
      <c r="B199" s="105" t="s">
        <v>105</v>
      </c>
      <c r="C199" s="56"/>
      <c r="D199" s="51" t="s">
        <v>90</v>
      </c>
      <c r="E199" s="51" t="s">
        <v>90</v>
      </c>
      <c r="F199" s="51" t="s">
        <v>90</v>
      </c>
      <c r="G199" s="51" t="s">
        <v>90</v>
      </c>
      <c r="H199" s="51" t="s">
        <v>90</v>
      </c>
      <c r="I199" s="48">
        <f>I200+I201</f>
        <v>4174.76</v>
      </c>
      <c r="J199" s="48">
        <f t="shared" ref="J199:L199" si="26">J200+J201</f>
        <v>2760.79</v>
      </c>
      <c r="K199" s="48">
        <f t="shared" si="26"/>
        <v>1330.8600000000001</v>
      </c>
      <c r="L199" s="53">
        <f t="shared" si="26"/>
        <v>92</v>
      </c>
      <c r="M199" s="51" t="s">
        <v>131</v>
      </c>
      <c r="N199" s="54" t="s">
        <v>131</v>
      </c>
      <c r="O199" s="48">
        <v>243092.59999999998</v>
      </c>
      <c r="P199" s="48">
        <f t="shared" si="13"/>
        <v>58.229119757782478</v>
      </c>
      <c r="Q199" s="48">
        <f>MAX(Q200:Q201)</f>
        <v>5351.7146397255055</v>
      </c>
    </row>
    <row r="200" spans="1:17" ht="35.25">
      <c r="A200" s="1">
        <v>1</v>
      </c>
      <c r="B200" s="55">
        <f>B198+1</f>
        <v>96</v>
      </c>
      <c r="C200" s="56" t="s">
        <v>328</v>
      </c>
      <c r="D200" s="51">
        <v>1967</v>
      </c>
      <c r="E200" s="51"/>
      <c r="F200" s="52" t="s">
        <v>48</v>
      </c>
      <c r="G200" s="51">
        <v>4</v>
      </c>
      <c r="H200" s="51">
        <v>3</v>
      </c>
      <c r="I200" s="48">
        <v>3387.86</v>
      </c>
      <c r="J200" s="48">
        <v>2034.29</v>
      </c>
      <c r="K200" s="48">
        <v>1015.36</v>
      </c>
      <c r="L200" s="53">
        <v>59</v>
      </c>
      <c r="M200" s="51" t="s">
        <v>50</v>
      </c>
      <c r="N200" s="54" t="s">
        <v>238</v>
      </c>
      <c r="O200" s="48">
        <v>218819.08</v>
      </c>
      <c r="P200" s="48">
        <f t="shared" si="13"/>
        <v>64.589174287013037</v>
      </c>
      <c r="Q200" s="48">
        <v>1343.9624181636782</v>
      </c>
    </row>
    <row r="201" spans="1:17" ht="35.25">
      <c r="B201" s="55">
        <f t="shared" ref="B201" si="27">B200+1</f>
        <v>97</v>
      </c>
      <c r="C201" s="56" t="s">
        <v>566</v>
      </c>
      <c r="D201" s="51" t="s">
        <v>76</v>
      </c>
      <c r="E201" s="51"/>
      <c r="F201" s="52" t="s">
        <v>48</v>
      </c>
      <c r="G201" s="51">
        <v>2</v>
      </c>
      <c r="H201" s="51">
        <v>2</v>
      </c>
      <c r="I201" s="48">
        <v>786.9</v>
      </c>
      <c r="J201" s="48">
        <v>726.5</v>
      </c>
      <c r="K201" s="48">
        <v>315.5</v>
      </c>
      <c r="L201" s="53">
        <v>33</v>
      </c>
      <c r="M201" s="57" t="s">
        <v>50</v>
      </c>
      <c r="N201" s="54" t="s">
        <v>575</v>
      </c>
      <c r="O201" s="48">
        <v>24273.52</v>
      </c>
      <c r="P201" s="48">
        <f t="shared" si="13"/>
        <v>30.847019951709239</v>
      </c>
      <c r="Q201" s="48">
        <v>5351.7146397255055</v>
      </c>
    </row>
    <row r="202" spans="1:17" ht="35.25">
      <c r="B202" s="105" t="s">
        <v>112</v>
      </c>
      <c r="C202" s="56"/>
      <c r="D202" s="51" t="s">
        <v>90</v>
      </c>
      <c r="E202" s="51" t="s">
        <v>90</v>
      </c>
      <c r="F202" s="52" t="s">
        <v>90</v>
      </c>
      <c r="G202" s="51" t="s">
        <v>90</v>
      </c>
      <c r="H202" s="51" t="s">
        <v>90</v>
      </c>
      <c r="I202" s="48">
        <f>SUM(I203:I204)</f>
        <v>15972.619999999999</v>
      </c>
      <c r="J202" s="48">
        <f t="shared" ref="J202:L202" si="28">SUM(J203:J204)</f>
        <v>13085.72</v>
      </c>
      <c r="K202" s="48">
        <f t="shared" si="28"/>
        <v>12402.84</v>
      </c>
      <c r="L202" s="53">
        <f t="shared" si="28"/>
        <v>615</v>
      </c>
      <c r="M202" s="51" t="s">
        <v>131</v>
      </c>
      <c r="N202" s="54" t="s">
        <v>131</v>
      </c>
      <c r="O202" s="48">
        <v>1988549.43</v>
      </c>
      <c r="P202" s="48">
        <f t="shared" si="13"/>
        <v>124.49738552598134</v>
      </c>
      <c r="Q202" s="48">
        <f>MAX(Q203:Q204)</f>
        <v>2078.6826562685833</v>
      </c>
    </row>
    <row r="203" spans="1:17" ht="35.25">
      <c r="A203" s="1">
        <v>1</v>
      </c>
      <c r="B203" s="55">
        <f>B201+1</f>
        <v>98</v>
      </c>
      <c r="C203" s="56" t="s">
        <v>329</v>
      </c>
      <c r="D203" s="51">
        <v>1989</v>
      </c>
      <c r="E203" s="51"/>
      <c r="F203" s="52" t="s">
        <v>48</v>
      </c>
      <c r="G203" s="51">
        <v>5</v>
      </c>
      <c r="H203" s="51">
        <v>12</v>
      </c>
      <c r="I203" s="48">
        <v>10086.92</v>
      </c>
      <c r="J203" s="48">
        <v>8329.2199999999993</v>
      </c>
      <c r="K203" s="48">
        <v>7734.54</v>
      </c>
      <c r="L203" s="53">
        <v>405</v>
      </c>
      <c r="M203" s="51" t="s">
        <v>50</v>
      </c>
      <c r="N203" s="54" t="s">
        <v>376</v>
      </c>
      <c r="O203" s="48">
        <v>83534.5</v>
      </c>
      <c r="P203" s="48">
        <f t="shared" si="13"/>
        <v>8.2814674846236507</v>
      </c>
      <c r="Q203" s="48">
        <v>1719.9042955629664</v>
      </c>
    </row>
    <row r="204" spans="1:17" ht="35.25">
      <c r="A204" s="1">
        <v>1</v>
      </c>
      <c r="B204" s="55">
        <f t="shared" ref="B204" si="29">B203+1</f>
        <v>99</v>
      </c>
      <c r="C204" s="56" t="s">
        <v>330</v>
      </c>
      <c r="D204" s="51">
        <v>1977</v>
      </c>
      <c r="E204" s="51"/>
      <c r="F204" s="52" t="s">
        <v>48</v>
      </c>
      <c r="G204" s="51">
        <v>5</v>
      </c>
      <c r="H204" s="51">
        <v>8</v>
      </c>
      <c r="I204" s="48">
        <v>5885.7</v>
      </c>
      <c r="J204" s="48">
        <v>4756.5</v>
      </c>
      <c r="K204" s="48">
        <v>4668.3</v>
      </c>
      <c r="L204" s="53">
        <v>210</v>
      </c>
      <c r="M204" s="51" t="s">
        <v>50</v>
      </c>
      <c r="N204" s="54" t="s">
        <v>377</v>
      </c>
      <c r="O204" s="48">
        <v>1905014.93</v>
      </c>
      <c r="P204" s="48">
        <f t="shared" si="13"/>
        <v>323.66837079701651</v>
      </c>
      <c r="Q204" s="48">
        <v>2078.6826562685833</v>
      </c>
    </row>
    <row r="205" spans="1:17" ht="35.25">
      <c r="B205" s="105" t="s">
        <v>128</v>
      </c>
      <c r="C205" s="56"/>
      <c r="D205" s="51" t="s">
        <v>90</v>
      </c>
      <c r="E205" s="51" t="s">
        <v>90</v>
      </c>
      <c r="F205" s="52" t="s">
        <v>90</v>
      </c>
      <c r="G205" s="51" t="s">
        <v>90</v>
      </c>
      <c r="H205" s="51" t="s">
        <v>90</v>
      </c>
      <c r="I205" s="48">
        <f>I206+I207+I208</f>
        <v>3408</v>
      </c>
      <c r="J205" s="48">
        <f t="shared" ref="J205:L205" si="30">J206+J207+J208</f>
        <v>3083.5</v>
      </c>
      <c r="K205" s="48">
        <f t="shared" si="30"/>
        <v>2494.5</v>
      </c>
      <c r="L205" s="53">
        <f t="shared" si="30"/>
        <v>189</v>
      </c>
      <c r="M205" s="51" t="s">
        <v>131</v>
      </c>
      <c r="N205" s="54" t="s">
        <v>131</v>
      </c>
      <c r="O205" s="48">
        <v>654592.74</v>
      </c>
      <c r="P205" s="48">
        <f t="shared" si="13"/>
        <v>192.07533450704224</v>
      </c>
      <c r="Q205" s="48">
        <f>MAX(Q206:Q208)</f>
        <v>5664.1740484848488</v>
      </c>
    </row>
    <row r="206" spans="1:17" ht="35.25">
      <c r="A206" s="1">
        <v>1</v>
      </c>
      <c r="B206" s="55">
        <f>B204+1</f>
        <v>100</v>
      </c>
      <c r="C206" s="56" t="s">
        <v>331</v>
      </c>
      <c r="D206" s="51">
        <v>1961</v>
      </c>
      <c r="E206" s="51"/>
      <c r="F206" s="52" t="s">
        <v>48</v>
      </c>
      <c r="G206" s="51">
        <v>2</v>
      </c>
      <c r="H206" s="51">
        <v>3</v>
      </c>
      <c r="I206" s="48">
        <v>825</v>
      </c>
      <c r="J206" s="48">
        <v>769.5</v>
      </c>
      <c r="K206" s="48">
        <v>628.1</v>
      </c>
      <c r="L206" s="53">
        <v>57</v>
      </c>
      <c r="M206" s="51" t="s">
        <v>50</v>
      </c>
      <c r="N206" s="54" t="s">
        <v>378</v>
      </c>
      <c r="O206" s="48">
        <v>590350.84</v>
      </c>
      <c r="P206" s="48">
        <f t="shared" si="13"/>
        <v>715.57677575757577</v>
      </c>
      <c r="Q206" s="48">
        <v>5664.1740484848488</v>
      </c>
    </row>
    <row r="207" spans="1:17" ht="35.25">
      <c r="A207" s="1">
        <v>1</v>
      </c>
      <c r="B207" s="55">
        <f t="shared" ref="B207:B208" si="31">B206+1</f>
        <v>101</v>
      </c>
      <c r="C207" s="56" t="s">
        <v>332</v>
      </c>
      <c r="D207" s="51">
        <v>1985</v>
      </c>
      <c r="E207" s="51"/>
      <c r="F207" s="52" t="s">
        <v>48</v>
      </c>
      <c r="G207" s="51">
        <v>4</v>
      </c>
      <c r="H207" s="51">
        <v>2</v>
      </c>
      <c r="I207" s="48">
        <v>1789.9</v>
      </c>
      <c r="J207" s="48">
        <v>1591.4</v>
      </c>
      <c r="K207" s="48">
        <v>1185</v>
      </c>
      <c r="L207" s="53">
        <v>91</v>
      </c>
      <c r="M207" s="51" t="s">
        <v>50</v>
      </c>
      <c r="N207" s="54" t="s">
        <v>378</v>
      </c>
      <c r="O207" s="48">
        <v>30755.429999999997</v>
      </c>
      <c r="P207" s="48">
        <f t="shared" si="13"/>
        <v>17.182764400245819</v>
      </c>
      <c r="Q207" s="48">
        <v>2453.1788692105702</v>
      </c>
    </row>
    <row r="208" spans="1:17" ht="35.25">
      <c r="B208" s="55">
        <f t="shared" si="31"/>
        <v>102</v>
      </c>
      <c r="C208" s="56" t="s">
        <v>567</v>
      </c>
      <c r="D208" s="51" t="s">
        <v>62</v>
      </c>
      <c r="E208" s="51"/>
      <c r="F208" s="52" t="s">
        <v>48</v>
      </c>
      <c r="G208" s="51">
        <v>2</v>
      </c>
      <c r="H208" s="51">
        <v>2</v>
      </c>
      <c r="I208" s="48">
        <v>793.1</v>
      </c>
      <c r="J208" s="48">
        <v>722.6</v>
      </c>
      <c r="K208" s="48">
        <v>681.4</v>
      </c>
      <c r="L208" s="53">
        <v>41</v>
      </c>
      <c r="M208" s="57" t="s">
        <v>50</v>
      </c>
      <c r="N208" s="54" t="s">
        <v>576</v>
      </c>
      <c r="O208" s="48">
        <v>33486.47</v>
      </c>
      <c r="P208" s="48">
        <f t="shared" si="13"/>
        <v>42.222254444584543</v>
      </c>
      <c r="Q208" s="48">
        <v>4672.6926490984742</v>
      </c>
    </row>
    <row r="209" spans="1:17" ht="35.25">
      <c r="B209" s="105" t="s">
        <v>119</v>
      </c>
      <c r="C209" s="56"/>
      <c r="D209" s="51" t="s">
        <v>90</v>
      </c>
      <c r="E209" s="51" t="s">
        <v>90</v>
      </c>
      <c r="F209" s="52" t="s">
        <v>90</v>
      </c>
      <c r="G209" s="51" t="s">
        <v>90</v>
      </c>
      <c r="H209" s="51" t="s">
        <v>90</v>
      </c>
      <c r="I209" s="48">
        <f>I210</f>
        <v>677.1</v>
      </c>
      <c r="J209" s="48">
        <f t="shared" ref="J209:L209" si="32">J210</f>
        <v>618.1</v>
      </c>
      <c r="K209" s="48">
        <f t="shared" si="32"/>
        <v>363.3</v>
      </c>
      <c r="L209" s="53">
        <f t="shared" si="32"/>
        <v>37</v>
      </c>
      <c r="M209" s="51" t="s">
        <v>131</v>
      </c>
      <c r="N209" s="54" t="s">
        <v>131</v>
      </c>
      <c r="O209" s="48">
        <v>39585</v>
      </c>
      <c r="P209" s="48">
        <f t="shared" si="13"/>
        <v>58.462560921577314</v>
      </c>
      <c r="Q209" s="48">
        <f>Q210</f>
        <v>5012.504858957318</v>
      </c>
    </row>
    <row r="210" spans="1:17" ht="35.25">
      <c r="A210" s="1">
        <v>1</v>
      </c>
      <c r="B210" s="55">
        <f>B208+1</f>
        <v>103</v>
      </c>
      <c r="C210" s="56" t="s">
        <v>333</v>
      </c>
      <c r="D210" s="51">
        <v>1991</v>
      </c>
      <c r="E210" s="51"/>
      <c r="F210" s="52" t="s">
        <v>60</v>
      </c>
      <c r="G210" s="51">
        <v>2</v>
      </c>
      <c r="H210" s="51">
        <v>2</v>
      </c>
      <c r="I210" s="48">
        <v>677.1</v>
      </c>
      <c r="J210" s="48">
        <v>618.1</v>
      </c>
      <c r="K210" s="48">
        <v>363.3</v>
      </c>
      <c r="L210" s="53">
        <v>37</v>
      </c>
      <c r="M210" s="51" t="s">
        <v>47</v>
      </c>
      <c r="N210" s="54" t="s">
        <v>49</v>
      </c>
      <c r="O210" s="48">
        <v>39585</v>
      </c>
      <c r="P210" s="48">
        <f t="shared" si="13"/>
        <v>58.462560921577314</v>
      </c>
      <c r="Q210" s="48">
        <v>5012.504858957318</v>
      </c>
    </row>
    <row r="211" spans="1:17" ht="35.25">
      <c r="B211" s="105" t="s">
        <v>102</v>
      </c>
      <c r="C211" s="56"/>
      <c r="D211" s="51" t="s">
        <v>90</v>
      </c>
      <c r="E211" s="51" t="s">
        <v>90</v>
      </c>
      <c r="F211" s="52" t="s">
        <v>90</v>
      </c>
      <c r="G211" s="51" t="s">
        <v>90</v>
      </c>
      <c r="H211" s="51" t="s">
        <v>90</v>
      </c>
      <c r="I211" s="48">
        <f>I212</f>
        <v>805.6</v>
      </c>
      <c r="J211" s="48">
        <f t="shared" ref="J211:L211" si="33">J212</f>
        <v>744.2</v>
      </c>
      <c r="K211" s="48">
        <f t="shared" si="33"/>
        <v>701.4</v>
      </c>
      <c r="L211" s="53">
        <f t="shared" si="33"/>
        <v>44</v>
      </c>
      <c r="M211" s="51" t="s">
        <v>131</v>
      </c>
      <c r="N211" s="54" t="s">
        <v>131</v>
      </c>
      <c r="O211" s="48">
        <v>275468.56</v>
      </c>
      <c r="P211" s="48">
        <f t="shared" si="13"/>
        <v>341.94210526315788</v>
      </c>
      <c r="Q211" s="48">
        <f>Q212</f>
        <v>5483.0539721946379</v>
      </c>
    </row>
    <row r="212" spans="1:17" ht="35.25">
      <c r="A212" s="1">
        <v>1</v>
      </c>
      <c r="B212" s="55">
        <f>B210+1</f>
        <v>104</v>
      </c>
      <c r="C212" s="56" t="s">
        <v>334</v>
      </c>
      <c r="D212" s="51">
        <v>1969</v>
      </c>
      <c r="E212" s="51"/>
      <c r="F212" s="52" t="s">
        <v>48</v>
      </c>
      <c r="G212" s="51">
        <v>2</v>
      </c>
      <c r="H212" s="51">
        <v>2</v>
      </c>
      <c r="I212" s="48">
        <v>805.6</v>
      </c>
      <c r="J212" s="48">
        <v>744.2</v>
      </c>
      <c r="K212" s="48">
        <v>701.4</v>
      </c>
      <c r="L212" s="53">
        <v>44</v>
      </c>
      <c r="M212" s="51" t="s">
        <v>47</v>
      </c>
      <c r="N212" s="54" t="s">
        <v>49</v>
      </c>
      <c r="O212" s="48">
        <v>275468.56</v>
      </c>
      <c r="P212" s="48">
        <f t="shared" si="13"/>
        <v>341.94210526315788</v>
      </c>
      <c r="Q212" s="48">
        <v>5483.0539721946379</v>
      </c>
    </row>
    <row r="213" spans="1:17" ht="35.25">
      <c r="B213" s="105" t="s">
        <v>124</v>
      </c>
      <c r="C213" s="56"/>
      <c r="D213" s="51" t="s">
        <v>90</v>
      </c>
      <c r="E213" s="51" t="s">
        <v>90</v>
      </c>
      <c r="F213" s="52" t="s">
        <v>90</v>
      </c>
      <c r="G213" s="51" t="s">
        <v>90</v>
      </c>
      <c r="H213" s="51" t="s">
        <v>90</v>
      </c>
      <c r="I213" s="48">
        <f>I214</f>
        <v>1423.3</v>
      </c>
      <c r="J213" s="48">
        <f t="shared" ref="J213:L213" si="34">J214</f>
        <v>862.5</v>
      </c>
      <c r="K213" s="48">
        <f t="shared" si="34"/>
        <v>862.5</v>
      </c>
      <c r="L213" s="53">
        <f t="shared" si="34"/>
        <v>37</v>
      </c>
      <c r="M213" s="51" t="s">
        <v>131</v>
      </c>
      <c r="N213" s="54" t="s">
        <v>131</v>
      </c>
      <c r="O213" s="48">
        <v>50753.95</v>
      </c>
      <c r="P213" s="48">
        <f t="shared" si="13"/>
        <v>35.659347994098219</v>
      </c>
      <c r="Q213" s="48">
        <f>Q214</f>
        <v>3629.4649617087048</v>
      </c>
    </row>
    <row r="214" spans="1:17" ht="35.25">
      <c r="B214" s="55">
        <f>B212+1</f>
        <v>105</v>
      </c>
      <c r="C214" s="56" t="s">
        <v>568</v>
      </c>
      <c r="D214" s="51">
        <v>1980</v>
      </c>
      <c r="E214" s="51"/>
      <c r="F214" s="52" t="s">
        <v>48</v>
      </c>
      <c r="G214" s="51">
        <v>2</v>
      </c>
      <c r="H214" s="51">
        <v>3</v>
      </c>
      <c r="I214" s="48">
        <v>1423.3</v>
      </c>
      <c r="J214" s="48">
        <v>862.5</v>
      </c>
      <c r="K214" s="48">
        <v>862.5</v>
      </c>
      <c r="L214" s="53">
        <v>37</v>
      </c>
      <c r="M214" s="51" t="s">
        <v>47</v>
      </c>
      <c r="N214" s="54" t="s">
        <v>49</v>
      </c>
      <c r="O214" s="48">
        <v>50753.95</v>
      </c>
      <c r="P214" s="48">
        <f t="shared" si="13"/>
        <v>35.659347994098219</v>
      </c>
      <c r="Q214" s="48">
        <v>3629.4649617087048</v>
      </c>
    </row>
    <row r="215" spans="1:17" ht="35.25">
      <c r="B215" s="105" t="s">
        <v>116</v>
      </c>
      <c r="C215" s="56"/>
      <c r="D215" s="51" t="s">
        <v>90</v>
      </c>
      <c r="E215" s="51" t="s">
        <v>90</v>
      </c>
      <c r="F215" s="52" t="s">
        <v>90</v>
      </c>
      <c r="G215" s="51" t="s">
        <v>90</v>
      </c>
      <c r="H215" s="51" t="s">
        <v>90</v>
      </c>
      <c r="I215" s="48">
        <f>SUM(I216:I219)</f>
        <v>13349.95</v>
      </c>
      <c r="J215" s="48">
        <f t="shared" ref="J215:L215" si="35">SUM(J216:J219)</f>
        <v>8603.0499999999993</v>
      </c>
      <c r="K215" s="48">
        <f t="shared" si="35"/>
        <v>6388.1299999999992</v>
      </c>
      <c r="L215" s="53">
        <f t="shared" si="35"/>
        <v>640</v>
      </c>
      <c r="M215" s="51" t="s">
        <v>131</v>
      </c>
      <c r="N215" s="54" t="s">
        <v>131</v>
      </c>
      <c r="O215" s="48">
        <v>109537.78</v>
      </c>
      <c r="P215" s="48">
        <f t="shared" si="13"/>
        <v>8.205107884299192</v>
      </c>
      <c r="Q215" s="48">
        <f>MAX(Q217:Q219)</f>
        <v>6231.2593939104027</v>
      </c>
    </row>
    <row r="216" spans="1:17" ht="35.25">
      <c r="A216" s="1">
        <v>1</v>
      </c>
      <c r="B216" s="55">
        <f>B214+1</f>
        <v>106</v>
      </c>
      <c r="C216" s="56" t="s">
        <v>335</v>
      </c>
      <c r="D216" s="51">
        <v>1984</v>
      </c>
      <c r="E216" s="51"/>
      <c r="F216" s="52" t="s">
        <v>60</v>
      </c>
      <c r="G216" s="51">
        <v>5</v>
      </c>
      <c r="H216" s="51">
        <v>6</v>
      </c>
      <c r="I216" s="48">
        <v>6737.77</v>
      </c>
      <c r="J216" s="48">
        <v>4669.7</v>
      </c>
      <c r="K216" s="48">
        <v>4492.3999999999996</v>
      </c>
      <c r="L216" s="53">
        <v>246</v>
      </c>
      <c r="M216" s="51" t="s">
        <v>50</v>
      </c>
      <c r="N216" s="54" t="s">
        <v>244</v>
      </c>
      <c r="O216" s="48">
        <v>82303.180000000008</v>
      </c>
      <c r="P216" s="48">
        <f t="shared" si="13"/>
        <v>12.215195828887007</v>
      </c>
      <c r="Q216" s="48">
        <v>1153.1914140732022</v>
      </c>
    </row>
    <row r="217" spans="1:17" ht="35.25">
      <c r="A217" s="1">
        <v>1</v>
      </c>
      <c r="B217" s="55">
        <f t="shared" ref="B217:B219" si="36">B216+1</f>
        <v>107</v>
      </c>
      <c r="C217" s="56" t="s">
        <v>336</v>
      </c>
      <c r="D217" s="51">
        <v>1976</v>
      </c>
      <c r="E217" s="51"/>
      <c r="F217" s="52" t="s">
        <v>48</v>
      </c>
      <c r="G217" s="51">
        <v>2</v>
      </c>
      <c r="H217" s="51">
        <v>2</v>
      </c>
      <c r="I217" s="48">
        <v>590.55999999999995</v>
      </c>
      <c r="J217" s="48">
        <v>553.66</v>
      </c>
      <c r="K217" s="48">
        <v>414.9</v>
      </c>
      <c r="L217" s="53">
        <v>34</v>
      </c>
      <c r="M217" s="51" t="s">
        <v>50</v>
      </c>
      <c r="N217" s="54" t="s">
        <v>55</v>
      </c>
      <c r="O217" s="48">
        <v>13519.03</v>
      </c>
      <c r="P217" s="48">
        <f t="shared" si="13"/>
        <v>22.891882281224603</v>
      </c>
      <c r="Q217" s="48">
        <v>5646.6699319290174</v>
      </c>
    </row>
    <row r="218" spans="1:17" ht="35.25">
      <c r="A218" s="1">
        <v>1</v>
      </c>
      <c r="B218" s="55">
        <f t="shared" si="36"/>
        <v>108</v>
      </c>
      <c r="C218" s="56" t="s">
        <v>337</v>
      </c>
      <c r="D218" s="51">
        <v>1975</v>
      </c>
      <c r="E218" s="51">
        <v>2010</v>
      </c>
      <c r="F218" s="52" t="s">
        <v>48</v>
      </c>
      <c r="G218" s="51">
        <v>5</v>
      </c>
      <c r="H218" s="51">
        <v>1</v>
      </c>
      <c r="I218" s="48">
        <v>5603.53</v>
      </c>
      <c r="J218" s="48">
        <v>3006.1</v>
      </c>
      <c r="K218" s="48">
        <v>1107.24</v>
      </c>
      <c r="L218" s="53">
        <v>341</v>
      </c>
      <c r="M218" s="51" t="s">
        <v>47</v>
      </c>
      <c r="N218" s="54" t="s">
        <v>49</v>
      </c>
      <c r="O218" s="48">
        <v>178357.44</v>
      </c>
      <c r="P218" s="48">
        <f t="shared" si="13"/>
        <v>31.829478917753633</v>
      </c>
      <c r="Q218" s="48">
        <v>969.4</v>
      </c>
    </row>
    <row r="219" spans="1:17" ht="35.25">
      <c r="A219" s="1">
        <v>1</v>
      </c>
      <c r="B219" s="55">
        <f t="shared" si="36"/>
        <v>109</v>
      </c>
      <c r="C219" s="56" t="s">
        <v>894</v>
      </c>
      <c r="D219" s="51">
        <v>1968</v>
      </c>
      <c r="E219" s="51"/>
      <c r="F219" s="52" t="s">
        <v>48</v>
      </c>
      <c r="G219" s="51">
        <v>2</v>
      </c>
      <c r="H219" s="51">
        <v>2</v>
      </c>
      <c r="I219" s="48">
        <v>418.09</v>
      </c>
      <c r="J219" s="48">
        <v>373.59</v>
      </c>
      <c r="K219" s="48">
        <v>373.59</v>
      </c>
      <c r="L219" s="53">
        <v>19</v>
      </c>
      <c r="M219" s="51" t="s">
        <v>50</v>
      </c>
      <c r="N219" s="54" t="s">
        <v>55</v>
      </c>
      <c r="O219" s="48">
        <v>13715.57</v>
      </c>
      <c r="P219" s="48">
        <f t="shared" ref="P219:P242" si="37">O219/I219</f>
        <v>32.805305077854051</v>
      </c>
      <c r="Q219" s="48">
        <v>6231.2593939104027</v>
      </c>
    </row>
    <row r="220" spans="1:17" ht="35.25">
      <c r="B220" s="105" t="s">
        <v>237</v>
      </c>
      <c r="C220" s="56"/>
      <c r="D220" s="51" t="s">
        <v>90</v>
      </c>
      <c r="E220" s="51" t="s">
        <v>90</v>
      </c>
      <c r="F220" s="52" t="s">
        <v>90</v>
      </c>
      <c r="G220" s="51" t="s">
        <v>90</v>
      </c>
      <c r="H220" s="51" t="s">
        <v>90</v>
      </c>
      <c r="I220" s="48">
        <f>I221</f>
        <v>418.1</v>
      </c>
      <c r="J220" s="48">
        <f t="shared" ref="J220:L220" si="38">J221</f>
        <v>377.6</v>
      </c>
      <c r="K220" s="48">
        <f t="shared" si="38"/>
        <v>284.3</v>
      </c>
      <c r="L220" s="53">
        <f t="shared" si="38"/>
        <v>12</v>
      </c>
      <c r="M220" s="51" t="s">
        <v>131</v>
      </c>
      <c r="N220" s="54" t="s">
        <v>131</v>
      </c>
      <c r="O220" s="48">
        <v>222759.59</v>
      </c>
      <c r="P220" s="48">
        <f t="shared" si="37"/>
        <v>532.79021765127959</v>
      </c>
      <c r="Q220" s="48">
        <f>Q221</f>
        <v>6416.5976287969388</v>
      </c>
    </row>
    <row r="221" spans="1:17" ht="35.25">
      <c r="A221" s="1">
        <v>1</v>
      </c>
      <c r="B221" s="55">
        <f>B219+1</f>
        <v>110</v>
      </c>
      <c r="C221" s="56" t="s">
        <v>338</v>
      </c>
      <c r="D221" s="51">
        <v>1987</v>
      </c>
      <c r="E221" s="51"/>
      <c r="F221" s="52" t="s">
        <v>48</v>
      </c>
      <c r="G221" s="51">
        <v>2</v>
      </c>
      <c r="H221" s="51">
        <v>2</v>
      </c>
      <c r="I221" s="48">
        <v>418.1</v>
      </c>
      <c r="J221" s="48">
        <v>377.6</v>
      </c>
      <c r="K221" s="48">
        <v>284.3</v>
      </c>
      <c r="L221" s="53">
        <v>12</v>
      </c>
      <c r="M221" s="51" t="s">
        <v>47</v>
      </c>
      <c r="N221" s="54" t="s">
        <v>49</v>
      </c>
      <c r="O221" s="48">
        <v>222759.59</v>
      </c>
      <c r="P221" s="48">
        <f t="shared" si="37"/>
        <v>532.79021765127959</v>
      </c>
      <c r="Q221" s="48">
        <v>6416.5976287969388</v>
      </c>
    </row>
    <row r="222" spans="1:17" ht="35.25">
      <c r="B222" s="105" t="s">
        <v>114</v>
      </c>
      <c r="C222" s="56"/>
      <c r="D222" s="51" t="s">
        <v>90</v>
      </c>
      <c r="E222" s="51" t="s">
        <v>90</v>
      </c>
      <c r="F222" s="52" t="s">
        <v>90</v>
      </c>
      <c r="G222" s="51" t="s">
        <v>90</v>
      </c>
      <c r="H222" s="51" t="s">
        <v>90</v>
      </c>
      <c r="I222" s="48">
        <f>I223</f>
        <v>344.6</v>
      </c>
      <c r="J222" s="48">
        <f t="shared" ref="J222:L222" si="39">J223</f>
        <v>312.2</v>
      </c>
      <c r="K222" s="48">
        <f t="shared" si="39"/>
        <v>312.2</v>
      </c>
      <c r="L222" s="53">
        <f t="shared" si="39"/>
        <v>15</v>
      </c>
      <c r="M222" s="51" t="s">
        <v>131</v>
      </c>
      <c r="N222" s="54" t="s">
        <v>131</v>
      </c>
      <c r="O222" s="48">
        <v>137654.99000000002</v>
      </c>
      <c r="P222" s="48">
        <f t="shared" si="37"/>
        <v>399.46311665699363</v>
      </c>
      <c r="Q222" s="48">
        <f>Q223</f>
        <v>5915.4176111433544</v>
      </c>
    </row>
    <row r="223" spans="1:17" ht="35.25">
      <c r="A223" s="1">
        <v>1</v>
      </c>
      <c r="B223" s="55">
        <f>B221+1</f>
        <v>111</v>
      </c>
      <c r="C223" s="56" t="s">
        <v>339</v>
      </c>
      <c r="D223" s="51">
        <v>1975</v>
      </c>
      <c r="E223" s="51"/>
      <c r="F223" s="52" t="s">
        <v>48</v>
      </c>
      <c r="G223" s="51">
        <v>2</v>
      </c>
      <c r="H223" s="51">
        <v>1</v>
      </c>
      <c r="I223" s="48">
        <v>344.6</v>
      </c>
      <c r="J223" s="48">
        <v>312.2</v>
      </c>
      <c r="K223" s="48">
        <v>312.2</v>
      </c>
      <c r="L223" s="53">
        <v>15</v>
      </c>
      <c r="M223" s="51" t="s">
        <v>47</v>
      </c>
      <c r="N223" s="54" t="s">
        <v>49</v>
      </c>
      <c r="O223" s="48">
        <v>137654.99000000002</v>
      </c>
      <c r="P223" s="48">
        <f t="shared" si="37"/>
        <v>399.46311665699363</v>
      </c>
      <c r="Q223" s="48">
        <v>5915.4176111433544</v>
      </c>
    </row>
    <row r="224" spans="1:17" ht="35.25">
      <c r="B224" s="105" t="s">
        <v>107</v>
      </c>
      <c r="C224" s="56"/>
      <c r="D224" s="51" t="s">
        <v>90</v>
      </c>
      <c r="E224" s="51" t="s">
        <v>90</v>
      </c>
      <c r="F224" s="52" t="s">
        <v>90</v>
      </c>
      <c r="G224" s="51" t="s">
        <v>90</v>
      </c>
      <c r="H224" s="51" t="s">
        <v>90</v>
      </c>
      <c r="I224" s="48">
        <f>I225</f>
        <v>3508.9</v>
      </c>
      <c r="J224" s="48">
        <f t="shared" ref="J224:L224" si="40">J225</f>
        <v>3167.7</v>
      </c>
      <c r="K224" s="48">
        <f t="shared" si="40"/>
        <v>2665.2</v>
      </c>
      <c r="L224" s="53">
        <f t="shared" si="40"/>
        <v>145</v>
      </c>
      <c r="M224" s="51" t="s">
        <v>131</v>
      </c>
      <c r="N224" s="54" t="s">
        <v>131</v>
      </c>
      <c r="O224" s="48">
        <v>894902.36</v>
      </c>
      <c r="P224" s="48">
        <f t="shared" si="37"/>
        <v>255.03786371797429</v>
      </c>
      <c r="Q224" s="48">
        <f>Q225</f>
        <v>711.20978084299918</v>
      </c>
    </row>
    <row r="225" spans="1:17" ht="35.25">
      <c r="A225" s="1">
        <v>1</v>
      </c>
      <c r="B225" s="55">
        <f>B223+1</f>
        <v>112</v>
      </c>
      <c r="C225" s="56" t="s">
        <v>340</v>
      </c>
      <c r="D225" s="51">
        <v>1987</v>
      </c>
      <c r="E225" s="51"/>
      <c r="F225" s="52" t="s">
        <v>60</v>
      </c>
      <c r="G225" s="51">
        <v>5</v>
      </c>
      <c r="H225" s="51">
        <v>4</v>
      </c>
      <c r="I225" s="48">
        <v>3508.9</v>
      </c>
      <c r="J225" s="48">
        <v>3167.7</v>
      </c>
      <c r="K225" s="48">
        <v>2665.2</v>
      </c>
      <c r="L225" s="53">
        <v>145</v>
      </c>
      <c r="M225" s="51" t="s">
        <v>47</v>
      </c>
      <c r="N225" s="54" t="s">
        <v>49</v>
      </c>
      <c r="O225" s="48">
        <v>894902.36</v>
      </c>
      <c r="P225" s="48">
        <f t="shared" si="37"/>
        <v>255.03786371797429</v>
      </c>
      <c r="Q225" s="48">
        <v>711.20978084299918</v>
      </c>
    </row>
    <row r="226" spans="1:17" ht="35.25">
      <c r="B226" s="105" t="s">
        <v>111</v>
      </c>
      <c r="C226" s="56"/>
      <c r="D226" s="51" t="s">
        <v>90</v>
      </c>
      <c r="E226" s="51" t="s">
        <v>90</v>
      </c>
      <c r="F226" s="52" t="s">
        <v>90</v>
      </c>
      <c r="G226" s="51" t="s">
        <v>90</v>
      </c>
      <c r="H226" s="51" t="s">
        <v>90</v>
      </c>
      <c r="I226" s="48">
        <f>I227</f>
        <v>719.4</v>
      </c>
      <c r="J226" s="48">
        <f t="shared" ref="J226:L226" si="41">J227</f>
        <v>531.6</v>
      </c>
      <c r="K226" s="48">
        <f t="shared" si="41"/>
        <v>471.6</v>
      </c>
      <c r="L226" s="53">
        <f t="shared" si="41"/>
        <v>30</v>
      </c>
      <c r="M226" s="51" t="s">
        <v>131</v>
      </c>
      <c r="N226" s="54" t="s">
        <v>131</v>
      </c>
      <c r="O226" s="48">
        <v>40586.949999999997</v>
      </c>
      <c r="P226" s="48">
        <f t="shared" si="37"/>
        <v>56.41777870447595</v>
      </c>
      <c r="Q226" s="48">
        <f>Q227</f>
        <v>5645.7192243536274</v>
      </c>
    </row>
    <row r="227" spans="1:17" ht="35.25">
      <c r="A227" s="1">
        <v>1</v>
      </c>
      <c r="B227" s="55">
        <f>B225+1</f>
        <v>113</v>
      </c>
      <c r="C227" s="56" t="s">
        <v>341</v>
      </c>
      <c r="D227" s="51">
        <v>1975</v>
      </c>
      <c r="E227" s="51"/>
      <c r="F227" s="52" t="s">
        <v>48</v>
      </c>
      <c r="G227" s="51">
        <v>2</v>
      </c>
      <c r="H227" s="51">
        <v>2</v>
      </c>
      <c r="I227" s="48">
        <v>719.4</v>
      </c>
      <c r="J227" s="48">
        <v>531.6</v>
      </c>
      <c r="K227" s="48">
        <v>471.6</v>
      </c>
      <c r="L227" s="53">
        <v>30</v>
      </c>
      <c r="M227" s="51" t="s">
        <v>47</v>
      </c>
      <c r="N227" s="54" t="s">
        <v>49</v>
      </c>
      <c r="O227" s="48">
        <v>40586.949999999997</v>
      </c>
      <c r="P227" s="48">
        <f t="shared" si="37"/>
        <v>56.41777870447595</v>
      </c>
      <c r="Q227" s="48">
        <v>5645.7192243536274</v>
      </c>
    </row>
    <row r="228" spans="1:17" ht="35.25">
      <c r="B228" s="105" t="s">
        <v>118</v>
      </c>
      <c r="C228" s="56"/>
      <c r="D228" s="51" t="s">
        <v>90</v>
      </c>
      <c r="E228" s="51" t="s">
        <v>90</v>
      </c>
      <c r="F228" s="52" t="s">
        <v>90</v>
      </c>
      <c r="G228" s="51" t="s">
        <v>90</v>
      </c>
      <c r="H228" s="51" t="s">
        <v>90</v>
      </c>
      <c r="I228" s="48">
        <f>I229</f>
        <v>930</v>
      </c>
      <c r="J228" s="48">
        <f t="shared" ref="J228:L228" si="42">J229</f>
        <v>857.4</v>
      </c>
      <c r="K228" s="48">
        <f t="shared" si="42"/>
        <v>561.4</v>
      </c>
      <c r="L228" s="53">
        <f t="shared" si="42"/>
        <v>45</v>
      </c>
      <c r="M228" s="51" t="s">
        <v>131</v>
      </c>
      <c r="N228" s="54" t="s">
        <v>131</v>
      </c>
      <c r="O228" s="48">
        <v>39622.869999999995</v>
      </c>
      <c r="P228" s="48">
        <f t="shared" si="37"/>
        <v>42.605236559139783</v>
      </c>
      <c r="Q228" s="48">
        <f>Q229</f>
        <v>5111.8810967741938</v>
      </c>
    </row>
    <row r="229" spans="1:17" ht="35.25">
      <c r="A229" s="1">
        <v>1</v>
      </c>
      <c r="B229" s="55">
        <f>B227+1</f>
        <v>114</v>
      </c>
      <c r="C229" s="56" t="s">
        <v>342</v>
      </c>
      <c r="D229" s="51">
        <v>1973</v>
      </c>
      <c r="E229" s="51"/>
      <c r="F229" s="52" t="s">
        <v>48</v>
      </c>
      <c r="G229" s="51">
        <v>2</v>
      </c>
      <c r="H229" s="51">
        <v>3</v>
      </c>
      <c r="I229" s="48">
        <v>930</v>
      </c>
      <c r="J229" s="48">
        <v>857.4</v>
      </c>
      <c r="K229" s="48">
        <v>561.4</v>
      </c>
      <c r="L229" s="53">
        <v>45</v>
      </c>
      <c r="M229" s="51" t="s">
        <v>50</v>
      </c>
      <c r="N229" s="54" t="s">
        <v>51</v>
      </c>
      <c r="O229" s="48">
        <v>39622.869999999995</v>
      </c>
      <c r="P229" s="48">
        <f t="shared" si="37"/>
        <v>42.605236559139783</v>
      </c>
      <c r="Q229" s="48">
        <v>5111.8810967741938</v>
      </c>
    </row>
    <row r="230" spans="1:17" ht="35.25">
      <c r="B230" s="105" t="s">
        <v>106</v>
      </c>
      <c r="C230" s="56"/>
      <c r="D230" s="51" t="s">
        <v>90</v>
      </c>
      <c r="E230" s="51" t="s">
        <v>90</v>
      </c>
      <c r="F230" s="52" t="s">
        <v>90</v>
      </c>
      <c r="G230" s="51" t="s">
        <v>90</v>
      </c>
      <c r="H230" s="51" t="s">
        <v>90</v>
      </c>
      <c r="I230" s="48">
        <f>I231</f>
        <v>5432.4</v>
      </c>
      <c r="J230" s="48">
        <f t="shared" ref="J230:L230" si="43">J231</f>
        <v>4626.3999999999996</v>
      </c>
      <c r="K230" s="48">
        <f t="shared" si="43"/>
        <v>4626.3999999999996</v>
      </c>
      <c r="L230" s="53">
        <f t="shared" si="43"/>
        <v>181</v>
      </c>
      <c r="M230" s="51" t="s">
        <v>131</v>
      </c>
      <c r="N230" s="54" t="s">
        <v>131</v>
      </c>
      <c r="O230" s="48">
        <v>1045972.2</v>
      </c>
      <c r="P230" s="48">
        <f t="shared" si="37"/>
        <v>192.54329578087035</v>
      </c>
      <c r="Q230" s="48">
        <f>Q231</f>
        <v>1363.2254933362788</v>
      </c>
    </row>
    <row r="231" spans="1:17" ht="35.25">
      <c r="A231" s="1">
        <v>1</v>
      </c>
      <c r="B231" s="55">
        <f>B229+1</f>
        <v>115</v>
      </c>
      <c r="C231" s="56" t="s">
        <v>892</v>
      </c>
      <c r="D231" s="51">
        <v>1977</v>
      </c>
      <c r="E231" s="51"/>
      <c r="F231" s="52" t="s">
        <v>60</v>
      </c>
      <c r="G231" s="51">
        <v>5</v>
      </c>
      <c r="H231" s="51">
        <v>6</v>
      </c>
      <c r="I231" s="48">
        <v>5432.4</v>
      </c>
      <c r="J231" s="48">
        <v>4626.3999999999996</v>
      </c>
      <c r="K231" s="48">
        <f>J231</f>
        <v>4626.3999999999996</v>
      </c>
      <c r="L231" s="53">
        <v>181</v>
      </c>
      <c r="M231" s="51" t="s">
        <v>50</v>
      </c>
      <c r="N231" s="54" t="s">
        <v>95</v>
      </c>
      <c r="O231" s="48">
        <v>1045972.2</v>
      </c>
      <c r="P231" s="48">
        <f t="shared" si="37"/>
        <v>192.54329578087035</v>
      </c>
      <c r="Q231" s="48">
        <v>1363.2254933362788</v>
      </c>
    </row>
    <row r="232" spans="1:17" ht="35.25">
      <c r="B232" s="105" t="s">
        <v>109</v>
      </c>
      <c r="C232" s="56"/>
      <c r="D232" s="51" t="s">
        <v>90</v>
      </c>
      <c r="E232" s="51" t="s">
        <v>90</v>
      </c>
      <c r="F232" s="52" t="s">
        <v>90</v>
      </c>
      <c r="G232" s="51" t="s">
        <v>90</v>
      </c>
      <c r="H232" s="51" t="s">
        <v>90</v>
      </c>
      <c r="I232" s="48">
        <f>SUM(I233:I234)</f>
        <v>1000</v>
      </c>
      <c r="J232" s="48">
        <f t="shared" ref="J232:L232" si="44">SUM(J233:J234)</f>
        <v>897</v>
      </c>
      <c r="K232" s="48">
        <f t="shared" si="44"/>
        <v>578</v>
      </c>
      <c r="L232" s="53">
        <f t="shared" si="44"/>
        <v>54</v>
      </c>
      <c r="M232" s="51" t="s">
        <v>131</v>
      </c>
      <c r="N232" s="54" t="s">
        <v>131</v>
      </c>
      <c r="O232" s="48">
        <v>155656.99</v>
      </c>
      <c r="P232" s="48">
        <f t="shared" si="37"/>
        <v>155.65698999999998</v>
      </c>
      <c r="Q232" s="48">
        <f>MAX(Q233:Q234)</f>
        <v>5950.9603076923077</v>
      </c>
    </row>
    <row r="233" spans="1:17" ht="35.25">
      <c r="A233" s="1">
        <v>1</v>
      </c>
      <c r="B233" s="55">
        <f>B231+1</f>
        <v>116</v>
      </c>
      <c r="C233" s="56" t="s">
        <v>350</v>
      </c>
      <c r="D233" s="51">
        <v>1967</v>
      </c>
      <c r="E233" s="51"/>
      <c r="F233" s="52" t="s">
        <v>48</v>
      </c>
      <c r="G233" s="51">
        <v>2</v>
      </c>
      <c r="H233" s="51">
        <v>2</v>
      </c>
      <c r="I233" s="48">
        <v>610</v>
      </c>
      <c r="J233" s="48">
        <v>558</v>
      </c>
      <c r="K233" s="48">
        <v>380.7</v>
      </c>
      <c r="L233" s="53">
        <v>33</v>
      </c>
      <c r="M233" s="51" t="s">
        <v>47</v>
      </c>
      <c r="N233" s="54" t="s">
        <v>49</v>
      </c>
      <c r="O233" s="48">
        <v>78556.570000000007</v>
      </c>
      <c r="P233" s="48">
        <f t="shared" si="37"/>
        <v>128.78126229508197</v>
      </c>
      <c r="Q233" s="48">
        <v>5901.3951967213115</v>
      </c>
    </row>
    <row r="234" spans="1:17" ht="35.25">
      <c r="A234" s="1">
        <v>1</v>
      </c>
      <c r="B234" s="55">
        <f t="shared" ref="B234" si="45">B233+1</f>
        <v>117</v>
      </c>
      <c r="C234" s="56" t="s">
        <v>351</v>
      </c>
      <c r="D234" s="51">
        <v>1965</v>
      </c>
      <c r="E234" s="51"/>
      <c r="F234" s="52" t="s">
        <v>48</v>
      </c>
      <c r="G234" s="51">
        <v>2</v>
      </c>
      <c r="H234" s="51">
        <v>2</v>
      </c>
      <c r="I234" s="48">
        <v>390</v>
      </c>
      <c r="J234" s="48">
        <v>339</v>
      </c>
      <c r="K234" s="48">
        <v>197.3</v>
      </c>
      <c r="L234" s="53">
        <v>21</v>
      </c>
      <c r="M234" s="51" t="s">
        <v>47</v>
      </c>
      <c r="N234" s="54" t="s">
        <v>49</v>
      </c>
      <c r="O234" s="48">
        <v>77100.42</v>
      </c>
      <c r="P234" s="48">
        <f t="shared" si="37"/>
        <v>197.69338461538462</v>
      </c>
      <c r="Q234" s="48">
        <v>5950.9603076923077</v>
      </c>
    </row>
    <row r="235" spans="1:17" ht="35.25">
      <c r="B235" s="105" t="s">
        <v>210</v>
      </c>
      <c r="C235" s="56"/>
      <c r="D235" s="51" t="s">
        <v>90</v>
      </c>
      <c r="E235" s="51" t="s">
        <v>90</v>
      </c>
      <c r="F235" s="52" t="s">
        <v>90</v>
      </c>
      <c r="G235" s="51" t="s">
        <v>90</v>
      </c>
      <c r="H235" s="51" t="s">
        <v>90</v>
      </c>
      <c r="I235" s="48">
        <f>I236</f>
        <v>1707.6</v>
      </c>
      <c r="J235" s="48">
        <f t="shared" ref="J235:L235" si="46">J236</f>
        <v>1346.4</v>
      </c>
      <c r="K235" s="48">
        <f t="shared" si="46"/>
        <v>1242.0999999999999</v>
      </c>
      <c r="L235" s="53">
        <f t="shared" si="46"/>
        <v>83</v>
      </c>
      <c r="M235" s="51" t="s">
        <v>131</v>
      </c>
      <c r="N235" s="54" t="s">
        <v>131</v>
      </c>
      <c r="O235" s="48">
        <v>5309.7</v>
      </c>
      <c r="P235" s="48">
        <f t="shared" si="37"/>
        <v>3.1094518622628251</v>
      </c>
      <c r="Q235" s="48">
        <f>Q236</f>
        <v>1569.5922557976107</v>
      </c>
    </row>
    <row r="236" spans="1:17" ht="35.25">
      <c r="A236" s="1">
        <v>1</v>
      </c>
      <c r="B236" s="55">
        <f>B234+1</f>
        <v>118</v>
      </c>
      <c r="C236" s="56" t="s">
        <v>385</v>
      </c>
      <c r="D236" s="51">
        <v>1985</v>
      </c>
      <c r="E236" s="51"/>
      <c r="F236" s="52" t="s">
        <v>48</v>
      </c>
      <c r="G236" s="51">
        <v>5</v>
      </c>
      <c r="H236" s="51">
        <v>1</v>
      </c>
      <c r="I236" s="48">
        <v>1707.6</v>
      </c>
      <c r="J236" s="48">
        <v>1346.4</v>
      </c>
      <c r="K236" s="48">
        <v>1242.0999999999999</v>
      </c>
      <c r="L236" s="53">
        <v>83</v>
      </c>
      <c r="M236" s="51" t="s">
        <v>50</v>
      </c>
      <c r="N236" s="54" t="s">
        <v>386</v>
      </c>
      <c r="O236" s="48">
        <v>5309.7</v>
      </c>
      <c r="P236" s="48">
        <f t="shared" si="37"/>
        <v>3.1094518622628251</v>
      </c>
      <c r="Q236" s="48">
        <v>1569.5922557976107</v>
      </c>
    </row>
    <row r="237" spans="1:17" ht="35.25">
      <c r="B237" s="105" t="s">
        <v>127</v>
      </c>
      <c r="C237" s="56"/>
      <c r="D237" s="51" t="s">
        <v>90</v>
      </c>
      <c r="E237" s="51" t="s">
        <v>90</v>
      </c>
      <c r="F237" s="52" t="s">
        <v>90</v>
      </c>
      <c r="G237" s="51" t="s">
        <v>90</v>
      </c>
      <c r="H237" s="51" t="s">
        <v>90</v>
      </c>
      <c r="I237" s="48">
        <f>I238</f>
        <v>773.3</v>
      </c>
      <c r="J237" s="48">
        <f t="shared" ref="J237:L237" si="47">J238</f>
        <v>709.7</v>
      </c>
      <c r="K237" s="48">
        <f t="shared" si="47"/>
        <v>676.4</v>
      </c>
      <c r="L237" s="53">
        <f t="shared" si="47"/>
        <v>25</v>
      </c>
      <c r="M237" s="51" t="s">
        <v>131</v>
      </c>
      <c r="N237" s="54" t="s">
        <v>131</v>
      </c>
      <c r="O237" s="48">
        <v>188216.53</v>
      </c>
      <c r="P237" s="48">
        <f t="shared" si="37"/>
        <v>243.39393508340879</v>
      </c>
      <c r="Q237" s="48">
        <f>Q238</f>
        <v>1501.8402903142378</v>
      </c>
    </row>
    <row r="238" spans="1:17" ht="35.25">
      <c r="B238" s="55">
        <f>B236+1</f>
        <v>119</v>
      </c>
      <c r="C238" s="56" t="s">
        <v>393</v>
      </c>
      <c r="D238" s="51">
        <v>1982</v>
      </c>
      <c r="E238" s="51"/>
      <c r="F238" s="52" t="s">
        <v>241</v>
      </c>
      <c r="G238" s="51">
        <v>5</v>
      </c>
      <c r="H238" s="51">
        <v>1</v>
      </c>
      <c r="I238" s="48">
        <v>773.3</v>
      </c>
      <c r="J238" s="48">
        <v>709.7</v>
      </c>
      <c r="K238" s="48">
        <v>676.4</v>
      </c>
      <c r="L238" s="53">
        <v>25</v>
      </c>
      <c r="M238" s="51" t="s">
        <v>47</v>
      </c>
      <c r="N238" s="54" t="s">
        <v>49</v>
      </c>
      <c r="O238" s="48">
        <v>188216.53</v>
      </c>
      <c r="P238" s="48">
        <f t="shared" si="37"/>
        <v>243.39393508340879</v>
      </c>
      <c r="Q238" s="48">
        <v>1501.8402903142378</v>
      </c>
    </row>
    <row r="239" spans="1:17" ht="35.25">
      <c r="B239" s="105" t="s">
        <v>117</v>
      </c>
      <c r="C239" s="56"/>
      <c r="D239" s="51" t="s">
        <v>90</v>
      </c>
      <c r="E239" s="51" t="s">
        <v>90</v>
      </c>
      <c r="F239" s="52" t="s">
        <v>90</v>
      </c>
      <c r="G239" s="51" t="s">
        <v>90</v>
      </c>
      <c r="H239" s="51" t="s">
        <v>90</v>
      </c>
      <c r="I239" s="48">
        <f>I240</f>
        <v>3094.98</v>
      </c>
      <c r="J239" s="48">
        <f t="shared" ref="J239:L241" si="48">J240</f>
        <v>2793.4</v>
      </c>
      <c r="K239" s="48">
        <f t="shared" si="48"/>
        <v>2250.5</v>
      </c>
      <c r="L239" s="53">
        <f t="shared" si="48"/>
        <v>157</v>
      </c>
      <c r="M239" s="51" t="s">
        <v>131</v>
      </c>
      <c r="N239" s="54" t="s">
        <v>131</v>
      </c>
      <c r="O239" s="48">
        <v>29122.38</v>
      </c>
      <c r="P239" s="48">
        <f t="shared" si="37"/>
        <v>9.4095535350793877</v>
      </c>
      <c r="Q239" s="48">
        <f>Q240</f>
        <v>969.4</v>
      </c>
    </row>
    <row r="240" spans="1:17" ht="35.25">
      <c r="B240" s="55">
        <f>B238+1</f>
        <v>120</v>
      </c>
      <c r="C240" s="56" t="s">
        <v>569</v>
      </c>
      <c r="D240" s="51" t="s">
        <v>79</v>
      </c>
      <c r="E240" s="51"/>
      <c r="F240" s="52" t="s">
        <v>48</v>
      </c>
      <c r="G240" s="51">
        <v>5</v>
      </c>
      <c r="H240" s="51">
        <v>4</v>
      </c>
      <c r="I240" s="48">
        <v>3094.98</v>
      </c>
      <c r="J240" s="48">
        <v>2793.4</v>
      </c>
      <c r="K240" s="48">
        <v>2250.5</v>
      </c>
      <c r="L240" s="53">
        <v>157</v>
      </c>
      <c r="M240" s="51" t="s">
        <v>50</v>
      </c>
      <c r="N240" s="54" t="s">
        <v>577</v>
      </c>
      <c r="O240" s="48">
        <v>29122.38</v>
      </c>
      <c r="P240" s="48">
        <f t="shared" si="37"/>
        <v>9.4095535350793877</v>
      </c>
      <c r="Q240" s="48">
        <v>969.4</v>
      </c>
    </row>
    <row r="241" spans="2:17" ht="35.25">
      <c r="B241" s="105" t="s">
        <v>117</v>
      </c>
      <c r="C241" s="56"/>
      <c r="D241" s="51" t="s">
        <v>90</v>
      </c>
      <c r="E241" s="51" t="s">
        <v>90</v>
      </c>
      <c r="F241" s="52" t="s">
        <v>90</v>
      </c>
      <c r="G241" s="51" t="s">
        <v>90</v>
      </c>
      <c r="H241" s="51" t="s">
        <v>90</v>
      </c>
      <c r="I241" s="48">
        <f>I242</f>
        <v>2034.7</v>
      </c>
      <c r="J241" s="48">
        <f t="shared" si="48"/>
        <v>1884.7</v>
      </c>
      <c r="K241" s="48">
        <f t="shared" si="48"/>
        <v>1600.6</v>
      </c>
      <c r="L241" s="53">
        <f t="shared" si="48"/>
        <v>104</v>
      </c>
      <c r="M241" s="51" t="s">
        <v>131</v>
      </c>
      <c r="N241" s="54" t="s">
        <v>131</v>
      </c>
      <c r="O241" s="48">
        <v>4917329.37</v>
      </c>
      <c r="P241" s="48">
        <f t="shared" si="37"/>
        <v>2416.7343441293556</v>
      </c>
      <c r="Q241" s="48">
        <f>Q242</f>
        <v>3127.5805769892368</v>
      </c>
    </row>
    <row r="242" spans="2:17" ht="35.25">
      <c r="B242" s="55">
        <f>B240+1</f>
        <v>121</v>
      </c>
      <c r="C242" s="56" t="s">
        <v>891</v>
      </c>
      <c r="D242" s="51">
        <v>1982</v>
      </c>
      <c r="E242" s="51"/>
      <c r="F242" s="52" t="s">
        <v>48</v>
      </c>
      <c r="G242" s="51">
        <v>3</v>
      </c>
      <c r="H242" s="51">
        <v>4</v>
      </c>
      <c r="I242" s="48">
        <v>2034.7</v>
      </c>
      <c r="J242" s="48">
        <v>1884.7</v>
      </c>
      <c r="K242" s="48">
        <v>1600.6</v>
      </c>
      <c r="L242" s="53">
        <v>104</v>
      </c>
      <c r="M242" s="51" t="s">
        <v>50</v>
      </c>
      <c r="N242" s="54" t="s">
        <v>54</v>
      </c>
      <c r="O242" s="48">
        <v>4917329.37</v>
      </c>
      <c r="P242" s="48">
        <f t="shared" si="37"/>
        <v>2416.7343441293556</v>
      </c>
      <c r="Q242" s="48">
        <v>3127.5805769892368</v>
      </c>
    </row>
  </sheetData>
  <autoFilter ref="A12:Q242"/>
  <mergeCells count="24">
    <mergeCell ref="M4:Q4"/>
    <mergeCell ref="M6:Q6"/>
    <mergeCell ref="M5:Q5"/>
    <mergeCell ref="B88:Q88"/>
    <mergeCell ref="Q8:Q10"/>
    <mergeCell ref="D9:D11"/>
    <mergeCell ref="E9:E11"/>
    <mergeCell ref="J9:J10"/>
    <mergeCell ref="K9:K10"/>
    <mergeCell ref="B13:Q13"/>
    <mergeCell ref="J8:K8"/>
    <mergeCell ref="L8:L10"/>
    <mergeCell ref="M8:M11"/>
    <mergeCell ref="N8:N11"/>
    <mergeCell ref="O8:O10"/>
    <mergeCell ref="P8:P10"/>
    <mergeCell ref="B7:Q7"/>
    <mergeCell ref="B8:B11"/>
    <mergeCell ref="C8:C11"/>
    <mergeCell ref="D8:E8"/>
    <mergeCell ref="F8:F11"/>
    <mergeCell ref="G8:G11"/>
    <mergeCell ref="H8:H11"/>
    <mergeCell ref="I8:I10"/>
  </mergeCells>
  <pageMargins left="0" right="0" top="0" bottom="0" header="0" footer="0"/>
  <pageSetup paperSize="9" scale="19" fitToHeight="0" orientation="landscape" r:id="rId1"/>
  <rowBreaks count="2" manualBreakCount="2">
    <brk id="71" max="16383" man="1"/>
    <brk id="158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76"/>
  <sheetViews>
    <sheetView view="pageBreakPreview" zoomScale="60" zoomScaleNormal="60" workbookViewId="0">
      <selection activeCell="D7" sqref="D7:F7"/>
    </sheetView>
  </sheetViews>
  <sheetFormatPr defaultRowHeight="15"/>
  <cols>
    <col min="1" max="1" width="12" style="1" customWidth="1"/>
    <col min="2" max="2" width="60.5703125" style="1" customWidth="1"/>
    <col min="3" max="3" width="22.140625" style="1" customWidth="1"/>
    <col min="4" max="4" width="38.85546875" style="1" customWidth="1"/>
    <col min="5" max="5" width="20.5703125" style="1" customWidth="1"/>
    <col min="6" max="6" width="25.28515625" style="1" customWidth="1"/>
    <col min="7" max="16384" width="9.140625" style="1"/>
  </cols>
  <sheetData>
    <row r="1" spans="1:29" s="71" customFormat="1" ht="31.5">
      <c r="D1" s="203" t="s">
        <v>900</v>
      </c>
      <c r="E1" s="203"/>
      <c r="F1" s="203"/>
      <c r="N1" s="106"/>
      <c r="P1" s="106"/>
      <c r="R1" s="106"/>
      <c r="S1" s="106"/>
      <c r="T1" s="106"/>
      <c r="U1" s="106"/>
      <c r="V1" s="106"/>
      <c r="W1" s="106"/>
      <c r="X1" s="106"/>
      <c r="Y1" s="106"/>
      <c r="Z1" s="106"/>
      <c r="AC1" s="107"/>
    </row>
    <row r="2" spans="1:29" s="71" customFormat="1" ht="66.75" customHeight="1">
      <c r="D2" s="204" t="s">
        <v>890</v>
      </c>
      <c r="E2" s="204"/>
      <c r="F2" s="204"/>
      <c r="O2" s="108"/>
      <c r="P2" s="108"/>
      <c r="R2" s="108"/>
      <c r="S2" s="108"/>
      <c r="T2" s="108"/>
      <c r="U2" s="108"/>
      <c r="V2" s="108"/>
      <c r="W2" s="108"/>
      <c r="X2" s="108"/>
      <c r="Y2" s="108"/>
      <c r="Z2" s="108"/>
      <c r="AC2" s="107"/>
    </row>
    <row r="3" spans="1:29" s="71" customFormat="1" ht="31.5">
      <c r="D3" s="205" t="s">
        <v>163</v>
      </c>
      <c r="E3" s="205"/>
      <c r="F3" s="205"/>
      <c r="O3" s="108"/>
      <c r="P3" s="108"/>
      <c r="R3" s="108"/>
      <c r="S3" s="108"/>
      <c r="T3" s="108"/>
      <c r="U3" s="108"/>
      <c r="V3" s="108"/>
      <c r="W3" s="108"/>
      <c r="X3" s="108"/>
      <c r="Y3" s="108"/>
      <c r="Z3" s="108"/>
      <c r="AC3" s="107"/>
    </row>
    <row r="4" spans="1:29" s="71" customFormat="1" ht="31.5">
      <c r="F4" s="109"/>
      <c r="O4" s="108"/>
      <c r="P4" s="108"/>
      <c r="R4" s="108"/>
      <c r="S4" s="108"/>
      <c r="T4" s="108"/>
      <c r="U4" s="108"/>
      <c r="V4" s="108"/>
      <c r="W4" s="108"/>
      <c r="X4" s="108"/>
      <c r="Y4" s="108"/>
      <c r="Z4" s="108"/>
      <c r="AC4" s="107"/>
    </row>
    <row r="5" spans="1:29" ht="35.25" customHeight="1">
      <c r="C5" s="110"/>
      <c r="D5" s="199" t="s">
        <v>904</v>
      </c>
      <c r="E5" s="199"/>
      <c r="F5" s="199"/>
    </row>
    <row r="6" spans="1:29" ht="27" customHeight="1">
      <c r="C6" s="110"/>
      <c r="D6" s="202" t="s">
        <v>905</v>
      </c>
      <c r="E6" s="202"/>
      <c r="F6" s="202"/>
    </row>
    <row r="7" spans="1:29" ht="21" customHeight="1">
      <c r="B7" s="200"/>
      <c r="D7" s="201" t="s">
        <v>906</v>
      </c>
      <c r="E7" s="201"/>
      <c r="F7" s="201"/>
    </row>
    <row r="8" spans="1:29" ht="104.25" customHeight="1">
      <c r="A8" s="184" t="s">
        <v>222</v>
      </c>
      <c r="B8" s="184"/>
      <c r="C8" s="184"/>
      <c r="D8" s="184"/>
      <c r="E8" s="184"/>
      <c r="F8" s="184"/>
    </row>
    <row r="9" spans="1:29">
      <c r="A9" s="185" t="s">
        <v>0</v>
      </c>
      <c r="B9" s="185" t="s">
        <v>85</v>
      </c>
      <c r="C9" s="183" t="s">
        <v>86</v>
      </c>
      <c r="D9" s="183" t="s">
        <v>223</v>
      </c>
      <c r="E9" s="183" t="s">
        <v>87</v>
      </c>
      <c r="F9" s="183" t="s">
        <v>88</v>
      </c>
    </row>
    <row r="10" spans="1:29" ht="156.75" customHeight="1">
      <c r="A10" s="186"/>
      <c r="B10" s="186"/>
      <c r="C10" s="187"/>
      <c r="D10" s="183"/>
      <c r="E10" s="183"/>
      <c r="F10" s="183"/>
    </row>
    <row r="11" spans="1:29" ht="23.25">
      <c r="A11" s="186"/>
      <c r="B11" s="186"/>
      <c r="C11" s="111" t="s">
        <v>89</v>
      </c>
      <c r="D11" s="111" t="s">
        <v>44</v>
      </c>
      <c r="E11" s="111" t="s">
        <v>28</v>
      </c>
      <c r="F11" s="111" t="s">
        <v>27</v>
      </c>
    </row>
    <row r="12" spans="1:29" ht="23.25">
      <c r="A12" s="112">
        <v>1</v>
      </c>
      <c r="B12" s="112">
        <v>2</v>
      </c>
      <c r="C12" s="112">
        <v>3</v>
      </c>
      <c r="D12" s="112">
        <v>4</v>
      </c>
      <c r="E12" s="113">
        <v>5</v>
      </c>
      <c r="F12" s="113">
        <v>6</v>
      </c>
    </row>
    <row r="13" spans="1:29" ht="74.25" customHeight="1">
      <c r="A13" s="180" t="s">
        <v>181</v>
      </c>
      <c r="B13" s="181"/>
      <c r="C13" s="181"/>
      <c r="D13" s="181"/>
      <c r="E13" s="181"/>
      <c r="F13" s="182"/>
    </row>
    <row r="14" spans="1:29" ht="23.25">
      <c r="A14" s="112"/>
      <c r="B14" s="114" t="s">
        <v>582</v>
      </c>
      <c r="C14" s="115">
        <f>C15+C34</f>
        <v>43052.780000000006</v>
      </c>
      <c r="D14" s="116">
        <f t="shared" ref="D14:E14" si="0">D15+D34</f>
        <v>1783</v>
      </c>
      <c r="E14" s="117">
        <f t="shared" si="0"/>
        <v>45</v>
      </c>
      <c r="F14" s="115">
        <v>82117834.670000002</v>
      </c>
    </row>
    <row r="15" spans="1:29" ht="23.25">
      <c r="A15" s="112"/>
      <c r="B15" s="118" t="s">
        <v>391</v>
      </c>
      <c r="C15" s="115">
        <f>SUM(C16:C33)</f>
        <v>33695.280000000006</v>
      </c>
      <c r="D15" s="116">
        <f t="shared" ref="D15:E15" si="1">SUM(D16:D33)</f>
        <v>1359</v>
      </c>
      <c r="E15" s="117">
        <f t="shared" si="1"/>
        <v>33</v>
      </c>
      <c r="F15" s="115">
        <v>51890376.860000007</v>
      </c>
    </row>
    <row r="16" spans="1:29" ht="23.25">
      <c r="A16" s="112">
        <v>1</v>
      </c>
      <c r="B16" s="119" t="s">
        <v>132</v>
      </c>
      <c r="C16" s="120">
        <v>792.7</v>
      </c>
      <c r="D16" s="121">
        <v>42</v>
      </c>
      <c r="E16" s="121">
        <v>1</v>
      </c>
      <c r="F16" s="122">
        <v>2142518.84</v>
      </c>
    </row>
    <row r="17" spans="1:6" ht="23.25">
      <c r="A17" s="112">
        <v>2</v>
      </c>
      <c r="B17" s="119" t="s">
        <v>246</v>
      </c>
      <c r="C17" s="120">
        <v>12811.8</v>
      </c>
      <c r="D17" s="121">
        <v>434</v>
      </c>
      <c r="E17" s="121">
        <v>8</v>
      </c>
      <c r="F17" s="122">
        <v>14491975.379999999</v>
      </c>
    </row>
    <row r="18" spans="1:6" ht="23.25">
      <c r="A18" s="112">
        <v>3</v>
      </c>
      <c r="B18" s="119" t="s">
        <v>134</v>
      </c>
      <c r="C18" s="120">
        <v>882.3</v>
      </c>
      <c r="D18" s="121">
        <v>29</v>
      </c>
      <c r="E18" s="121">
        <v>1</v>
      </c>
      <c r="F18" s="122">
        <v>2196540.5</v>
      </c>
    </row>
    <row r="19" spans="1:6" ht="23.25">
      <c r="A19" s="112">
        <v>4</v>
      </c>
      <c r="B19" s="119" t="s">
        <v>137</v>
      </c>
      <c r="C19" s="120">
        <v>1813.2</v>
      </c>
      <c r="D19" s="121">
        <v>156</v>
      </c>
      <c r="E19" s="121">
        <v>1</v>
      </c>
      <c r="F19" s="122">
        <v>5153989.53</v>
      </c>
    </row>
    <row r="20" spans="1:6" ht="23.25">
      <c r="A20" s="112">
        <v>5</v>
      </c>
      <c r="B20" s="119" t="s">
        <v>138</v>
      </c>
      <c r="C20" s="120">
        <v>366.5</v>
      </c>
      <c r="D20" s="121">
        <v>13</v>
      </c>
      <c r="E20" s="121">
        <v>1</v>
      </c>
      <c r="F20" s="122">
        <v>48440.03</v>
      </c>
    </row>
    <row r="21" spans="1:6" ht="23.25">
      <c r="A21" s="112">
        <v>6</v>
      </c>
      <c r="B21" s="119" t="s">
        <v>247</v>
      </c>
      <c r="C21" s="120">
        <v>872.2</v>
      </c>
      <c r="D21" s="121">
        <v>38</v>
      </c>
      <c r="E21" s="121">
        <v>2</v>
      </c>
      <c r="F21" s="122">
        <v>31767</v>
      </c>
    </row>
    <row r="22" spans="1:6" ht="23.25">
      <c r="A22" s="112">
        <v>7</v>
      </c>
      <c r="B22" s="119" t="s">
        <v>141</v>
      </c>
      <c r="C22" s="120">
        <v>881.98</v>
      </c>
      <c r="D22" s="121">
        <v>48</v>
      </c>
      <c r="E22" s="121">
        <v>2</v>
      </c>
      <c r="F22" s="122">
        <v>3557815.66</v>
      </c>
    </row>
    <row r="23" spans="1:6" ht="23.25">
      <c r="A23" s="112">
        <v>8</v>
      </c>
      <c r="B23" s="119" t="s">
        <v>157</v>
      </c>
      <c r="C23" s="120">
        <v>2093.1</v>
      </c>
      <c r="D23" s="121">
        <v>110</v>
      </c>
      <c r="E23" s="121">
        <v>3</v>
      </c>
      <c r="F23" s="122">
        <v>223917.22</v>
      </c>
    </row>
    <row r="24" spans="1:6" ht="23.25">
      <c r="A24" s="112">
        <v>9</v>
      </c>
      <c r="B24" s="119" t="s">
        <v>144</v>
      </c>
      <c r="C24" s="120">
        <v>755.8</v>
      </c>
      <c r="D24" s="121">
        <v>20</v>
      </c>
      <c r="E24" s="121">
        <v>1</v>
      </c>
      <c r="F24" s="122">
        <v>3265341.36</v>
      </c>
    </row>
    <row r="25" spans="1:6" ht="23.25">
      <c r="A25" s="112">
        <v>10</v>
      </c>
      <c r="B25" s="119" t="s">
        <v>146</v>
      </c>
      <c r="C25" s="120">
        <v>1840.2</v>
      </c>
      <c r="D25" s="121">
        <v>77</v>
      </c>
      <c r="E25" s="121">
        <v>1</v>
      </c>
      <c r="F25" s="122">
        <v>97672.62</v>
      </c>
    </row>
    <row r="26" spans="1:6" ht="23.25">
      <c r="A26" s="112">
        <v>11</v>
      </c>
      <c r="B26" s="119" t="s">
        <v>248</v>
      </c>
      <c r="C26" s="120">
        <v>1621.7</v>
      </c>
      <c r="D26" s="121">
        <v>58</v>
      </c>
      <c r="E26" s="121">
        <v>3</v>
      </c>
      <c r="F26" s="122">
        <v>7637123.5900000008</v>
      </c>
    </row>
    <row r="27" spans="1:6" ht="23.25">
      <c r="A27" s="112">
        <v>12</v>
      </c>
      <c r="B27" s="119" t="s">
        <v>249</v>
      </c>
      <c r="C27" s="120">
        <v>1598.9</v>
      </c>
      <c r="D27" s="121">
        <v>38</v>
      </c>
      <c r="E27" s="121">
        <v>1</v>
      </c>
      <c r="F27" s="122">
        <v>2434994.4500000002</v>
      </c>
    </row>
    <row r="28" spans="1:6" ht="23.25">
      <c r="A28" s="112">
        <v>13</v>
      </c>
      <c r="B28" s="119" t="s">
        <v>152</v>
      </c>
      <c r="C28" s="120">
        <v>465</v>
      </c>
      <c r="D28" s="121">
        <v>26</v>
      </c>
      <c r="E28" s="121">
        <v>1</v>
      </c>
      <c r="F28" s="122">
        <v>89459.11</v>
      </c>
    </row>
    <row r="29" spans="1:6" ht="23.25">
      <c r="A29" s="112">
        <v>14</v>
      </c>
      <c r="B29" s="119" t="s">
        <v>160</v>
      </c>
      <c r="C29" s="120">
        <v>861.5</v>
      </c>
      <c r="D29" s="121">
        <v>31</v>
      </c>
      <c r="E29" s="121">
        <v>1</v>
      </c>
      <c r="F29" s="122">
        <v>3168456.39</v>
      </c>
    </row>
    <row r="30" spans="1:6" ht="23.25">
      <c r="A30" s="112">
        <v>15</v>
      </c>
      <c r="B30" s="119" t="s">
        <v>156</v>
      </c>
      <c r="C30" s="120">
        <v>2249.1999999999998</v>
      </c>
      <c r="D30" s="121">
        <v>104</v>
      </c>
      <c r="E30" s="121">
        <v>3</v>
      </c>
      <c r="F30" s="122">
        <v>4966030.97</v>
      </c>
    </row>
    <row r="31" spans="1:6" ht="23.25">
      <c r="A31" s="112">
        <v>16</v>
      </c>
      <c r="B31" s="119" t="s">
        <v>155</v>
      </c>
      <c r="C31" s="120">
        <v>940.4</v>
      </c>
      <c r="D31" s="121">
        <v>26</v>
      </c>
      <c r="E31" s="121">
        <v>1</v>
      </c>
      <c r="F31" s="122">
        <v>1661171.06</v>
      </c>
    </row>
    <row r="32" spans="1:6" ht="23.25">
      <c r="A32" s="112">
        <v>17</v>
      </c>
      <c r="B32" s="119" t="s">
        <v>142</v>
      </c>
      <c r="C32" s="120">
        <v>1743.7</v>
      </c>
      <c r="D32" s="121">
        <v>65</v>
      </c>
      <c r="E32" s="121">
        <v>1</v>
      </c>
      <c r="F32" s="122">
        <v>119901.4</v>
      </c>
    </row>
    <row r="33" spans="1:6" ht="23.25">
      <c r="A33" s="112">
        <v>18</v>
      </c>
      <c r="B33" s="119" t="s">
        <v>140</v>
      </c>
      <c r="C33" s="120">
        <v>1105.0999999999999</v>
      </c>
      <c r="D33" s="121">
        <v>44</v>
      </c>
      <c r="E33" s="121">
        <v>1</v>
      </c>
      <c r="F33" s="122">
        <v>603261.75</v>
      </c>
    </row>
    <row r="34" spans="1:6" ht="23.25">
      <c r="A34" s="112"/>
      <c r="B34" s="118" t="s">
        <v>580</v>
      </c>
      <c r="C34" s="123">
        <f>SUM(C35:C42)</f>
        <v>9357.5</v>
      </c>
      <c r="D34" s="117">
        <f t="shared" ref="D34:E34" si="2">SUM(D35:D42)</f>
        <v>424</v>
      </c>
      <c r="E34" s="117">
        <f t="shared" si="2"/>
        <v>12</v>
      </c>
      <c r="F34" s="124">
        <v>30227457.809999999</v>
      </c>
    </row>
    <row r="35" spans="1:6" ht="23.25">
      <c r="A35" s="112">
        <v>1</v>
      </c>
      <c r="B35" s="119" t="s">
        <v>246</v>
      </c>
      <c r="C35" s="125">
        <v>1180.5999999999999</v>
      </c>
      <c r="D35" s="126">
        <v>60</v>
      </c>
      <c r="E35" s="121">
        <v>3</v>
      </c>
      <c r="F35" s="125">
        <v>5103149.49</v>
      </c>
    </row>
    <row r="36" spans="1:6" ht="23.25">
      <c r="A36" s="112">
        <v>2</v>
      </c>
      <c r="B36" s="119" t="s">
        <v>138</v>
      </c>
      <c r="C36" s="120">
        <v>366.5</v>
      </c>
      <c r="D36" s="121">
        <v>25</v>
      </c>
      <c r="E36" s="121">
        <v>1</v>
      </c>
      <c r="F36" s="122">
        <v>1450562.89</v>
      </c>
    </row>
    <row r="37" spans="1:6" ht="23.25">
      <c r="A37" s="112">
        <v>3</v>
      </c>
      <c r="B37" s="119" t="s">
        <v>247</v>
      </c>
      <c r="C37" s="120">
        <v>410.7</v>
      </c>
      <c r="D37" s="121">
        <v>25</v>
      </c>
      <c r="E37" s="121">
        <v>1</v>
      </c>
      <c r="F37" s="122">
        <v>2607490.21</v>
      </c>
    </row>
    <row r="38" spans="1:6" ht="23.25">
      <c r="A38" s="112">
        <v>4</v>
      </c>
      <c r="B38" s="119" t="s">
        <v>157</v>
      </c>
      <c r="C38" s="120">
        <v>2093.1</v>
      </c>
      <c r="D38" s="121">
        <v>110</v>
      </c>
      <c r="E38" s="121">
        <v>3</v>
      </c>
      <c r="F38" s="122">
        <v>6196990.8700000001</v>
      </c>
    </row>
    <row r="39" spans="1:6" ht="23.25">
      <c r="A39" s="112">
        <v>5</v>
      </c>
      <c r="B39" s="119" t="s">
        <v>146</v>
      </c>
      <c r="C39" s="120">
        <v>1840.2</v>
      </c>
      <c r="D39" s="121">
        <v>77</v>
      </c>
      <c r="E39" s="121">
        <v>1</v>
      </c>
      <c r="F39" s="122">
        <v>5538174.9500000002</v>
      </c>
    </row>
    <row r="40" spans="1:6" ht="23.25">
      <c r="A40" s="112">
        <v>6</v>
      </c>
      <c r="B40" s="119" t="s">
        <v>398</v>
      </c>
      <c r="C40" s="120">
        <v>1257.7</v>
      </c>
      <c r="D40" s="121">
        <v>36</v>
      </c>
      <c r="E40" s="121">
        <v>1</v>
      </c>
      <c r="F40" s="122">
        <v>3672464.4</v>
      </c>
    </row>
    <row r="41" spans="1:6" ht="23.25">
      <c r="A41" s="112">
        <v>7</v>
      </c>
      <c r="B41" s="119" t="s">
        <v>152</v>
      </c>
      <c r="C41" s="120">
        <v>465</v>
      </c>
      <c r="D41" s="121">
        <v>26</v>
      </c>
      <c r="E41" s="121">
        <v>1</v>
      </c>
      <c r="F41" s="122">
        <v>2030000</v>
      </c>
    </row>
    <row r="42" spans="1:6" ht="23.25">
      <c r="A42" s="112">
        <v>8</v>
      </c>
      <c r="B42" s="119" t="s">
        <v>142</v>
      </c>
      <c r="C42" s="120">
        <v>1743.7</v>
      </c>
      <c r="D42" s="121">
        <v>65</v>
      </c>
      <c r="E42" s="121">
        <v>1</v>
      </c>
      <c r="F42" s="122">
        <v>3628625</v>
      </c>
    </row>
    <row r="43" spans="1:6" ht="72" customHeight="1">
      <c r="A43" s="180" t="s">
        <v>257</v>
      </c>
      <c r="B43" s="181"/>
      <c r="C43" s="181"/>
      <c r="D43" s="181"/>
      <c r="E43" s="181"/>
      <c r="F43" s="182"/>
    </row>
    <row r="44" spans="1:6" ht="23.25">
      <c r="A44" s="112"/>
      <c r="B44" s="127" t="s">
        <v>224</v>
      </c>
      <c r="C44" s="125">
        <f>SUM(C45:C76)</f>
        <v>301139.77999999997</v>
      </c>
      <c r="D44" s="126">
        <f>SUM(D45:D76)</f>
        <v>12523</v>
      </c>
      <c r="E44" s="128">
        <f>SUM(E45:E76)</f>
        <v>121</v>
      </c>
      <c r="F44" s="125">
        <v>44427726.450000018</v>
      </c>
    </row>
    <row r="45" spans="1:6" ht="23.25">
      <c r="A45" s="112">
        <v>1</v>
      </c>
      <c r="B45" s="119" t="s">
        <v>132</v>
      </c>
      <c r="C45" s="120">
        <v>13682.619999999999</v>
      </c>
      <c r="D45" s="126">
        <v>744</v>
      </c>
      <c r="E45" s="128">
        <v>6</v>
      </c>
      <c r="F45" s="122">
        <v>3081201.1499999994</v>
      </c>
    </row>
    <row r="46" spans="1:6" ht="23.25">
      <c r="A46" s="112">
        <v>2</v>
      </c>
      <c r="B46" s="119" t="s">
        <v>133</v>
      </c>
      <c r="C46" s="120">
        <v>4101.7</v>
      </c>
      <c r="D46" s="126">
        <v>111</v>
      </c>
      <c r="E46" s="128">
        <v>1</v>
      </c>
      <c r="F46" s="122">
        <v>418959.01</v>
      </c>
    </row>
    <row r="47" spans="1:6" ht="23.25">
      <c r="A47" s="112">
        <v>3</v>
      </c>
      <c r="B47" s="119" t="s">
        <v>134</v>
      </c>
      <c r="C47" s="120">
        <v>2327.5</v>
      </c>
      <c r="D47" s="126">
        <v>106</v>
      </c>
      <c r="E47" s="128">
        <v>3</v>
      </c>
      <c r="F47" s="122">
        <v>34418.18</v>
      </c>
    </row>
    <row r="48" spans="1:6" ht="23.25">
      <c r="A48" s="112">
        <v>4</v>
      </c>
      <c r="B48" s="119" t="s">
        <v>246</v>
      </c>
      <c r="C48" s="120">
        <v>28928.739999999998</v>
      </c>
      <c r="D48" s="126">
        <v>1177</v>
      </c>
      <c r="E48" s="128">
        <v>16</v>
      </c>
      <c r="F48" s="122">
        <v>1937425.3199999998</v>
      </c>
    </row>
    <row r="49" spans="1:6" ht="23.25">
      <c r="A49" s="112">
        <v>5</v>
      </c>
      <c r="B49" s="119" t="s">
        <v>137</v>
      </c>
      <c r="C49" s="120">
        <v>14909.5</v>
      </c>
      <c r="D49" s="126">
        <v>477</v>
      </c>
      <c r="E49" s="128">
        <v>7</v>
      </c>
      <c r="F49" s="122">
        <v>2682931.6799999997</v>
      </c>
    </row>
    <row r="50" spans="1:6" ht="23.25">
      <c r="A50" s="112">
        <v>6</v>
      </c>
      <c r="B50" s="119" t="s">
        <v>136</v>
      </c>
      <c r="C50" s="120">
        <v>3874.7000000000003</v>
      </c>
      <c r="D50" s="126">
        <v>141</v>
      </c>
      <c r="E50" s="128">
        <v>4</v>
      </c>
      <c r="F50" s="122">
        <v>3091318.25</v>
      </c>
    </row>
    <row r="51" spans="1:6" ht="23.25">
      <c r="A51" s="112">
        <v>7</v>
      </c>
      <c r="B51" s="119" t="s">
        <v>157</v>
      </c>
      <c r="C51" s="120">
        <v>53886.020000000004</v>
      </c>
      <c r="D51" s="126">
        <v>1709</v>
      </c>
      <c r="E51" s="128">
        <v>26</v>
      </c>
      <c r="F51" s="122">
        <v>9367918.0500000007</v>
      </c>
    </row>
    <row r="52" spans="1:6" ht="23.25">
      <c r="A52" s="112">
        <v>8</v>
      </c>
      <c r="B52" s="119" t="s">
        <v>382</v>
      </c>
      <c r="C52" s="120">
        <v>47621.47</v>
      </c>
      <c r="D52" s="126">
        <v>2263</v>
      </c>
      <c r="E52" s="128">
        <v>15</v>
      </c>
      <c r="F52" s="122">
        <v>5316085.62</v>
      </c>
    </row>
    <row r="53" spans="1:6" ht="23.25">
      <c r="A53" s="112">
        <v>9</v>
      </c>
      <c r="B53" s="119" t="s">
        <v>383</v>
      </c>
      <c r="C53" s="120">
        <v>45795.1</v>
      </c>
      <c r="D53" s="126">
        <v>2257</v>
      </c>
      <c r="E53" s="128">
        <v>6</v>
      </c>
      <c r="F53" s="122">
        <v>1550578.68</v>
      </c>
    </row>
    <row r="54" spans="1:6" ht="23.25">
      <c r="A54" s="112">
        <v>10</v>
      </c>
      <c r="B54" s="119" t="s">
        <v>135</v>
      </c>
      <c r="C54" s="120">
        <v>6959.2</v>
      </c>
      <c r="D54" s="126">
        <v>259</v>
      </c>
      <c r="E54" s="128">
        <v>2</v>
      </c>
      <c r="F54" s="122">
        <v>3231773.15</v>
      </c>
    </row>
    <row r="55" spans="1:6" ht="23.25">
      <c r="A55" s="112">
        <v>11</v>
      </c>
      <c r="B55" s="119" t="s">
        <v>384</v>
      </c>
      <c r="C55" s="120">
        <v>1317.6</v>
      </c>
      <c r="D55" s="126">
        <v>50</v>
      </c>
      <c r="E55" s="128">
        <v>2</v>
      </c>
      <c r="F55" s="122">
        <v>35323.410000000003</v>
      </c>
    </row>
    <row r="56" spans="1:6" ht="23.25">
      <c r="A56" s="112">
        <v>12</v>
      </c>
      <c r="B56" s="119" t="s">
        <v>161</v>
      </c>
      <c r="C56" s="120">
        <v>3121</v>
      </c>
      <c r="D56" s="126">
        <v>171</v>
      </c>
      <c r="E56" s="128">
        <v>1</v>
      </c>
      <c r="F56" s="122">
        <v>778244.79</v>
      </c>
    </row>
    <row r="57" spans="1:6" ht="23.25">
      <c r="A57" s="112">
        <v>13</v>
      </c>
      <c r="B57" s="119" t="s">
        <v>150</v>
      </c>
      <c r="C57" s="120">
        <v>9754.2199999999993</v>
      </c>
      <c r="D57" s="126">
        <v>354</v>
      </c>
      <c r="E57" s="128">
        <v>5</v>
      </c>
      <c r="F57" s="122">
        <v>1856585.2200000002</v>
      </c>
    </row>
    <row r="58" spans="1:6" ht="23.25">
      <c r="A58" s="112">
        <v>14</v>
      </c>
      <c r="B58" s="119" t="s">
        <v>140</v>
      </c>
      <c r="C58" s="120">
        <v>5085.1000000000004</v>
      </c>
      <c r="D58" s="126">
        <v>199</v>
      </c>
      <c r="E58" s="128">
        <v>1</v>
      </c>
      <c r="F58" s="122">
        <v>425208.96</v>
      </c>
    </row>
    <row r="59" spans="1:6" ht="23.25">
      <c r="A59" s="112">
        <v>15</v>
      </c>
      <c r="B59" s="119" t="s">
        <v>141</v>
      </c>
      <c r="C59" s="120">
        <v>4174.76</v>
      </c>
      <c r="D59" s="126">
        <v>92</v>
      </c>
      <c r="E59" s="128">
        <v>2</v>
      </c>
      <c r="F59" s="122">
        <v>243092.59999999998</v>
      </c>
    </row>
    <row r="60" spans="1:6" ht="23.25">
      <c r="A60" s="112">
        <v>16</v>
      </c>
      <c r="B60" s="119" t="s">
        <v>148</v>
      </c>
      <c r="C60" s="120">
        <v>15972.619999999999</v>
      </c>
      <c r="D60" s="126">
        <v>615</v>
      </c>
      <c r="E60" s="128">
        <v>2</v>
      </c>
      <c r="F60" s="122">
        <v>1988549.43</v>
      </c>
    </row>
    <row r="61" spans="1:6" ht="23.25">
      <c r="A61" s="112">
        <v>17</v>
      </c>
      <c r="B61" s="119" t="s">
        <v>149</v>
      </c>
      <c r="C61" s="120">
        <v>3408</v>
      </c>
      <c r="D61" s="126">
        <v>189</v>
      </c>
      <c r="E61" s="128">
        <v>3</v>
      </c>
      <c r="F61" s="122">
        <v>654592.74</v>
      </c>
    </row>
    <row r="62" spans="1:6" ht="23.25">
      <c r="A62" s="112">
        <v>18</v>
      </c>
      <c r="B62" s="119" t="s">
        <v>160</v>
      </c>
      <c r="C62" s="120">
        <v>677.1</v>
      </c>
      <c r="D62" s="126">
        <v>37</v>
      </c>
      <c r="E62" s="128">
        <v>1</v>
      </c>
      <c r="F62" s="122">
        <v>39585</v>
      </c>
    </row>
    <row r="63" spans="1:6" ht="23.25">
      <c r="A63" s="112">
        <v>19</v>
      </c>
      <c r="B63" s="119" t="s">
        <v>139</v>
      </c>
      <c r="C63" s="120">
        <v>805.6</v>
      </c>
      <c r="D63" s="126">
        <v>44</v>
      </c>
      <c r="E63" s="128">
        <v>1</v>
      </c>
      <c r="F63" s="122">
        <v>275468.56</v>
      </c>
    </row>
    <row r="64" spans="1:6" ht="23.25">
      <c r="A64" s="112">
        <v>20</v>
      </c>
      <c r="B64" s="119" t="s">
        <v>158</v>
      </c>
      <c r="C64" s="120">
        <v>1423.3</v>
      </c>
      <c r="D64" s="126">
        <v>37</v>
      </c>
      <c r="E64" s="128">
        <v>1</v>
      </c>
      <c r="F64" s="122">
        <v>50753.95</v>
      </c>
    </row>
    <row r="65" spans="1:6" ht="23.25">
      <c r="A65" s="112">
        <v>21</v>
      </c>
      <c r="B65" s="119" t="s">
        <v>159</v>
      </c>
      <c r="C65" s="120">
        <v>13349.95</v>
      </c>
      <c r="D65" s="126">
        <v>640</v>
      </c>
      <c r="E65" s="128">
        <v>4</v>
      </c>
      <c r="F65" s="122">
        <v>109537.78</v>
      </c>
    </row>
    <row r="66" spans="1:6" ht="23.25">
      <c r="A66" s="112">
        <v>22</v>
      </c>
      <c r="B66" s="119" t="s">
        <v>250</v>
      </c>
      <c r="C66" s="120">
        <v>418.1</v>
      </c>
      <c r="D66" s="126">
        <v>12</v>
      </c>
      <c r="E66" s="128">
        <v>1</v>
      </c>
      <c r="F66" s="122">
        <v>222759.59</v>
      </c>
    </row>
    <row r="67" spans="1:6" ht="23.25">
      <c r="A67" s="112">
        <v>23</v>
      </c>
      <c r="B67" s="119" t="s">
        <v>162</v>
      </c>
      <c r="C67" s="120">
        <v>344.6</v>
      </c>
      <c r="D67" s="126">
        <v>15</v>
      </c>
      <c r="E67" s="128">
        <v>1</v>
      </c>
      <c r="F67" s="122">
        <v>137654.99000000002</v>
      </c>
    </row>
    <row r="68" spans="1:6" ht="23.25">
      <c r="A68" s="112">
        <v>24</v>
      </c>
      <c r="B68" s="119" t="s">
        <v>143</v>
      </c>
      <c r="C68" s="120">
        <v>3508.9</v>
      </c>
      <c r="D68" s="126">
        <v>145</v>
      </c>
      <c r="E68" s="128">
        <v>1</v>
      </c>
      <c r="F68" s="122">
        <v>894902.36</v>
      </c>
    </row>
    <row r="69" spans="1:6" ht="23.25">
      <c r="A69" s="112">
        <v>25</v>
      </c>
      <c r="B69" s="119" t="s">
        <v>147</v>
      </c>
      <c r="C69" s="120">
        <v>719.4</v>
      </c>
      <c r="D69" s="126">
        <v>30</v>
      </c>
      <c r="E69" s="128">
        <v>1</v>
      </c>
      <c r="F69" s="122">
        <v>40586.949999999997</v>
      </c>
    </row>
    <row r="70" spans="1:6" ht="23.25">
      <c r="A70" s="112">
        <v>26</v>
      </c>
      <c r="B70" s="119" t="s">
        <v>154</v>
      </c>
      <c r="C70" s="120">
        <v>930</v>
      </c>
      <c r="D70" s="126">
        <v>45</v>
      </c>
      <c r="E70" s="128">
        <v>1</v>
      </c>
      <c r="F70" s="122">
        <v>39622.869999999995</v>
      </c>
    </row>
    <row r="71" spans="1:6" ht="23.25">
      <c r="A71" s="112">
        <v>27</v>
      </c>
      <c r="B71" s="119" t="s">
        <v>142</v>
      </c>
      <c r="C71" s="120">
        <v>5432.4</v>
      </c>
      <c r="D71" s="126">
        <v>181</v>
      </c>
      <c r="E71" s="128">
        <v>1</v>
      </c>
      <c r="F71" s="122">
        <v>1045972.2</v>
      </c>
    </row>
    <row r="72" spans="1:6" ht="23.25">
      <c r="A72" s="112">
        <v>28</v>
      </c>
      <c r="B72" s="119" t="s">
        <v>145</v>
      </c>
      <c r="C72" s="120">
        <v>1000</v>
      </c>
      <c r="D72" s="126">
        <v>54</v>
      </c>
      <c r="E72" s="128">
        <v>2</v>
      </c>
      <c r="F72" s="122">
        <v>155656.99</v>
      </c>
    </row>
    <row r="73" spans="1:6" ht="23.25">
      <c r="A73" s="112">
        <v>29</v>
      </c>
      <c r="B73" s="119" t="s">
        <v>247</v>
      </c>
      <c r="C73" s="120">
        <v>1707.6</v>
      </c>
      <c r="D73" s="126">
        <v>83</v>
      </c>
      <c r="E73" s="128">
        <v>1</v>
      </c>
      <c r="F73" s="122">
        <v>5309.7</v>
      </c>
    </row>
    <row r="74" spans="1:6" ht="23.25">
      <c r="A74" s="112">
        <v>30</v>
      </c>
      <c r="B74" s="119" t="s">
        <v>151</v>
      </c>
      <c r="C74" s="120">
        <v>773.3</v>
      </c>
      <c r="D74" s="126">
        <v>25</v>
      </c>
      <c r="E74" s="128">
        <v>1</v>
      </c>
      <c r="F74" s="122">
        <v>188216.53</v>
      </c>
    </row>
    <row r="75" spans="1:6" ht="23.25">
      <c r="A75" s="112">
        <v>31</v>
      </c>
      <c r="B75" s="119" t="s">
        <v>153</v>
      </c>
      <c r="C75" s="120">
        <v>3094.98</v>
      </c>
      <c r="D75" s="126">
        <v>157</v>
      </c>
      <c r="E75" s="128">
        <v>1</v>
      </c>
      <c r="F75" s="122">
        <v>29122.38</v>
      </c>
    </row>
    <row r="76" spans="1:6" ht="23.25">
      <c r="A76" s="112">
        <v>32</v>
      </c>
      <c r="B76" s="119" t="s">
        <v>152</v>
      </c>
      <c r="C76" s="120">
        <v>2034.7</v>
      </c>
      <c r="D76" s="126">
        <v>104</v>
      </c>
      <c r="E76" s="128">
        <v>1</v>
      </c>
      <c r="F76" s="122">
        <v>4917329.37</v>
      </c>
    </row>
  </sheetData>
  <mergeCells count="15">
    <mergeCell ref="D7:F7"/>
    <mergeCell ref="D1:F1"/>
    <mergeCell ref="D3:F3"/>
    <mergeCell ref="D2:F2"/>
    <mergeCell ref="A43:F43"/>
    <mergeCell ref="D5:F5"/>
    <mergeCell ref="F9:F10"/>
    <mergeCell ref="A13:F13"/>
    <mergeCell ref="A8:F8"/>
    <mergeCell ref="A9:A11"/>
    <mergeCell ref="B9:B11"/>
    <mergeCell ref="C9:C10"/>
    <mergeCell ref="D9:D10"/>
    <mergeCell ref="E9:E10"/>
    <mergeCell ref="D6:F6"/>
  </mergeCells>
  <pageMargins left="0.39" right="0.32" top="0.75" bottom="0.75" header="0.3" footer="0.3"/>
  <pageSetup paperSize="9" scale="53" fitToHeight="0" orientation="portrait" r:id="rId1"/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486"/>
  <sheetViews>
    <sheetView tabSelected="1" topLeftCell="B1" zoomScale="30" zoomScaleNormal="30" workbookViewId="0">
      <selection activeCell="B1" sqref="A1:XFD1048576"/>
    </sheetView>
  </sheetViews>
  <sheetFormatPr defaultRowHeight="15"/>
  <cols>
    <col min="1" max="1" width="9.28515625" style="46" hidden="1" customWidth="1"/>
    <col min="2" max="2" width="12.85546875" style="46" customWidth="1"/>
    <col min="3" max="3" width="167.42578125" style="46" customWidth="1"/>
    <col min="4" max="4" width="27.85546875" style="46" customWidth="1"/>
    <col min="5" max="5" width="26.140625" style="46" customWidth="1"/>
    <col min="6" max="6" width="26.85546875" style="46" customWidth="1"/>
    <col min="7" max="7" width="34.5703125" style="46" customWidth="1"/>
    <col min="8" max="8" width="23.28515625" style="46" customWidth="1"/>
    <col min="9" max="9" width="25.140625" style="46" customWidth="1"/>
    <col min="10" max="10" width="24.85546875" style="46" customWidth="1"/>
    <col min="11" max="11" width="22" style="46" customWidth="1"/>
    <col min="12" max="12" width="25.7109375" style="46" customWidth="1"/>
    <col min="13" max="13" width="26.140625" style="46" customWidth="1"/>
    <col min="14" max="14" width="27.5703125" style="46" customWidth="1"/>
    <col min="15" max="15" width="27.140625" style="46" customWidth="1"/>
    <col min="16" max="16" width="32.85546875" style="46" customWidth="1"/>
    <col min="17" max="17" width="22.42578125" style="46" customWidth="1"/>
    <col min="18" max="18" width="28.140625" style="46" customWidth="1"/>
    <col min="19" max="19" width="52.42578125" style="46" customWidth="1"/>
    <col min="20" max="20" width="32.42578125" style="46" customWidth="1"/>
    <col min="21" max="21" width="24.5703125" style="46" customWidth="1"/>
    <col min="22" max="22" width="35" style="46" customWidth="1"/>
    <col min="23" max="23" width="35.140625" style="46" customWidth="1"/>
    <col min="24" max="24" width="41.140625" style="46" customWidth="1"/>
    <col min="25" max="25" width="16.42578125" style="46" customWidth="1"/>
    <col min="26" max="26" width="21.42578125" style="46" customWidth="1"/>
    <col min="27" max="27" width="31.42578125" style="46" customWidth="1"/>
    <col min="28" max="28" width="18.140625" style="46" customWidth="1"/>
    <col min="29" max="256" width="9.140625" style="46"/>
    <col min="257" max="257" width="9.28515625" style="46" customWidth="1"/>
    <col min="258" max="258" width="12.85546875" style="46" customWidth="1"/>
    <col min="259" max="259" width="167.42578125" style="46" customWidth="1"/>
    <col min="260" max="260" width="27.85546875" style="46" customWidth="1"/>
    <col min="261" max="261" width="26.140625" style="46" customWidth="1"/>
    <col min="262" max="262" width="26.85546875" style="46" customWidth="1"/>
    <col min="263" max="263" width="34.5703125" style="46" customWidth="1"/>
    <col min="264" max="264" width="23.28515625" style="46" customWidth="1"/>
    <col min="265" max="265" width="25.140625" style="46" customWidth="1"/>
    <col min="266" max="266" width="24.85546875" style="46" customWidth="1"/>
    <col min="267" max="267" width="22" style="46" customWidth="1"/>
    <col min="268" max="268" width="25.7109375" style="46" customWidth="1"/>
    <col min="269" max="269" width="26.140625" style="46" customWidth="1"/>
    <col min="270" max="270" width="27.5703125" style="46" customWidth="1"/>
    <col min="271" max="271" width="27.140625" style="46" customWidth="1"/>
    <col min="272" max="272" width="32.85546875" style="46" customWidth="1"/>
    <col min="273" max="273" width="22.42578125" style="46" customWidth="1"/>
    <col min="274" max="274" width="28.140625" style="46" customWidth="1"/>
    <col min="275" max="275" width="52.42578125" style="46" customWidth="1"/>
    <col min="276" max="276" width="32.42578125" style="46" customWidth="1"/>
    <col min="277" max="277" width="24.5703125" style="46" customWidth="1"/>
    <col min="278" max="278" width="35" style="46" customWidth="1"/>
    <col min="279" max="279" width="35.140625" style="46" customWidth="1"/>
    <col min="280" max="280" width="41.140625" style="46" customWidth="1"/>
    <col min="281" max="281" width="16.42578125" style="46" customWidth="1"/>
    <col min="282" max="282" width="21.42578125" style="46" customWidth="1"/>
    <col min="283" max="283" width="31.42578125" style="46" customWidth="1"/>
    <col min="284" max="284" width="18.140625" style="46" customWidth="1"/>
    <col min="285" max="512" width="9.140625" style="46"/>
    <col min="513" max="513" width="9.28515625" style="46" customWidth="1"/>
    <col min="514" max="514" width="12.85546875" style="46" customWidth="1"/>
    <col min="515" max="515" width="167.42578125" style="46" customWidth="1"/>
    <col min="516" max="516" width="27.85546875" style="46" customWidth="1"/>
    <col min="517" max="517" width="26.140625" style="46" customWidth="1"/>
    <col min="518" max="518" width="26.85546875" style="46" customWidth="1"/>
    <col min="519" max="519" width="34.5703125" style="46" customWidth="1"/>
    <col min="520" max="520" width="23.28515625" style="46" customWidth="1"/>
    <col min="521" max="521" width="25.140625" style="46" customWidth="1"/>
    <col min="522" max="522" width="24.85546875" style="46" customWidth="1"/>
    <col min="523" max="523" width="22" style="46" customWidth="1"/>
    <col min="524" max="524" width="25.7109375" style="46" customWidth="1"/>
    <col min="525" max="525" width="26.140625" style="46" customWidth="1"/>
    <col min="526" max="526" width="27.5703125" style="46" customWidth="1"/>
    <col min="527" max="527" width="27.140625" style="46" customWidth="1"/>
    <col min="528" max="528" width="32.85546875" style="46" customWidth="1"/>
    <col min="529" max="529" width="22.42578125" style="46" customWidth="1"/>
    <col min="530" max="530" width="28.140625" style="46" customWidth="1"/>
    <col min="531" max="531" width="52.42578125" style="46" customWidth="1"/>
    <col min="532" max="532" width="32.42578125" style="46" customWidth="1"/>
    <col min="533" max="533" width="24.5703125" style="46" customWidth="1"/>
    <col min="534" max="534" width="35" style="46" customWidth="1"/>
    <col min="535" max="535" width="35.140625" style="46" customWidth="1"/>
    <col min="536" max="536" width="41.140625" style="46" customWidth="1"/>
    <col min="537" max="537" width="16.42578125" style="46" customWidth="1"/>
    <col min="538" max="538" width="21.42578125" style="46" customWidth="1"/>
    <col min="539" max="539" width="31.42578125" style="46" customWidth="1"/>
    <col min="540" max="540" width="18.140625" style="46" customWidth="1"/>
    <col min="541" max="768" width="9.140625" style="46"/>
    <col min="769" max="769" width="9.28515625" style="46" customWidth="1"/>
    <col min="770" max="770" width="12.85546875" style="46" customWidth="1"/>
    <col min="771" max="771" width="167.42578125" style="46" customWidth="1"/>
    <col min="772" max="772" width="27.85546875" style="46" customWidth="1"/>
    <col min="773" max="773" width="26.140625" style="46" customWidth="1"/>
    <col min="774" max="774" width="26.85546875" style="46" customWidth="1"/>
    <col min="775" max="775" width="34.5703125" style="46" customWidth="1"/>
    <col min="776" max="776" width="23.28515625" style="46" customWidth="1"/>
    <col min="777" max="777" width="25.140625" style="46" customWidth="1"/>
    <col min="778" max="778" width="24.85546875" style="46" customWidth="1"/>
    <col min="779" max="779" width="22" style="46" customWidth="1"/>
    <col min="780" max="780" width="25.7109375" style="46" customWidth="1"/>
    <col min="781" max="781" width="26.140625" style="46" customWidth="1"/>
    <col min="782" max="782" width="27.5703125" style="46" customWidth="1"/>
    <col min="783" max="783" width="27.140625" style="46" customWidth="1"/>
    <col min="784" max="784" width="32.85546875" style="46" customWidth="1"/>
    <col min="785" max="785" width="22.42578125" style="46" customWidth="1"/>
    <col min="786" max="786" width="28.140625" style="46" customWidth="1"/>
    <col min="787" max="787" width="52.42578125" style="46" customWidth="1"/>
    <col min="788" max="788" width="32.42578125" style="46" customWidth="1"/>
    <col min="789" max="789" width="24.5703125" style="46" customWidth="1"/>
    <col min="790" max="790" width="35" style="46" customWidth="1"/>
    <col min="791" max="791" width="35.140625" style="46" customWidth="1"/>
    <col min="792" max="792" width="41.140625" style="46" customWidth="1"/>
    <col min="793" max="793" width="16.42578125" style="46" customWidth="1"/>
    <col min="794" max="794" width="21.42578125" style="46" customWidth="1"/>
    <col min="795" max="795" width="31.42578125" style="46" customWidth="1"/>
    <col min="796" max="796" width="18.140625" style="46" customWidth="1"/>
    <col min="797" max="1024" width="9.140625" style="46"/>
    <col min="1025" max="1025" width="9.28515625" style="46" customWidth="1"/>
    <col min="1026" max="1026" width="12.85546875" style="46" customWidth="1"/>
    <col min="1027" max="1027" width="167.42578125" style="46" customWidth="1"/>
    <col min="1028" max="1028" width="27.85546875" style="46" customWidth="1"/>
    <col min="1029" max="1029" width="26.140625" style="46" customWidth="1"/>
    <col min="1030" max="1030" width="26.85546875" style="46" customWidth="1"/>
    <col min="1031" max="1031" width="34.5703125" style="46" customWidth="1"/>
    <col min="1032" max="1032" width="23.28515625" style="46" customWidth="1"/>
    <col min="1033" max="1033" width="25.140625" style="46" customWidth="1"/>
    <col min="1034" max="1034" width="24.85546875" style="46" customWidth="1"/>
    <col min="1035" max="1035" width="22" style="46" customWidth="1"/>
    <col min="1036" max="1036" width="25.7109375" style="46" customWidth="1"/>
    <col min="1037" max="1037" width="26.140625" style="46" customWidth="1"/>
    <col min="1038" max="1038" width="27.5703125" style="46" customWidth="1"/>
    <col min="1039" max="1039" width="27.140625" style="46" customWidth="1"/>
    <col min="1040" max="1040" width="32.85546875" style="46" customWidth="1"/>
    <col min="1041" max="1041" width="22.42578125" style="46" customWidth="1"/>
    <col min="1042" max="1042" width="28.140625" style="46" customWidth="1"/>
    <col min="1043" max="1043" width="52.42578125" style="46" customWidth="1"/>
    <col min="1044" max="1044" width="32.42578125" style="46" customWidth="1"/>
    <col min="1045" max="1045" width="24.5703125" style="46" customWidth="1"/>
    <col min="1046" max="1046" width="35" style="46" customWidth="1"/>
    <col min="1047" max="1047" width="35.140625" style="46" customWidth="1"/>
    <col min="1048" max="1048" width="41.140625" style="46" customWidth="1"/>
    <col min="1049" max="1049" width="16.42578125" style="46" customWidth="1"/>
    <col min="1050" max="1050" width="21.42578125" style="46" customWidth="1"/>
    <col min="1051" max="1051" width="31.42578125" style="46" customWidth="1"/>
    <col min="1052" max="1052" width="18.140625" style="46" customWidth="1"/>
    <col min="1053" max="1280" width="9.140625" style="46"/>
    <col min="1281" max="1281" width="9.28515625" style="46" customWidth="1"/>
    <col min="1282" max="1282" width="12.85546875" style="46" customWidth="1"/>
    <col min="1283" max="1283" width="167.42578125" style="46" customWidth="1"/>
    <col min="1284" max="1284" width="27.85546875" style="46" customWidth="1"/>
    <col min="1285" max="1285" width="26.140625" style="46" customWidth="1"/>
    <col min="1286" max="1286" width="26.85546875" style="46" customWidth="1"/>
    <col min="1287" max="1287" width="34.5703125" style="46" customWidth="1"/>
    <col min="1288" max="1288" width="23.28515625" style="46" customWidth="1"/>
    <col min="1289" max="1289" width="25.140625" style="46" customWidth="1"/>
    <col min="1290" max="1290" width="24.85546875" style="46" customWidth="1"/>
    <col min="1291" max="1291" width="22" style="46" customWidth="1"/>
    <col min="1292" max="1292" width="25.7109375" style="46" customWidth="1"/>
    <col min="1293" max="1293" width="26.140625" style="46" customWidth="1"/>
    <col min="1294" max="1294" width="27.5703125" style="46" customWidth="1"/>
    <col min="1295" max="1295" width="27.140625" style="46" customWidth="1"/>
    <col min="1296" max="1296" width="32.85546875" style="46" customWidth="1"/>
    <col min="1297" max="1297" width="22.42578125" style="46" customWidth="1"/>
    <col min="1298" max="1298" width="28.140625" style="46" customWidth="1"/>
    <col min="1299" max="1299" width="52.42578125" style="46" customWidth="1"/>
    <col min="1300" max="1300" width="32.42578125" style="46" customWidth="1"/>
    <col min="1301" max="1301" width="24.5703125" style="46" customWidth="1"/>
    <col min="1302" max="1302" width="35" style="46" customWidth="1"/>
    <col min="1303" max="1303" width="35.140625" style="46" customWidth="1"/>
    <col min="1304" max="1304" width="41.140625" style="46" customWidth="1"/>
    <col min="1305" max="1305" width="16.42578125" style="46" customWidth="1"/>
    <col min="1306" max="1306" width="21.42578125" style="46" customWidth="1"/>
    <col min="1307" max="1307" width="31.42578125" style="46" customWidth="1"/>
    <col min="1308" max="1308" width="18.140625" style="46" customWidth="1"/>
    <col min="1309" max="1536" width="9.140625" style="46"/>
    <col min="1537" max="1537" width="9.28515625" style="46" customWidth="1"/>
    <col min="1538" max="1538" width="12.85546875" style="46" customWidth="1"/>
    <col min="1539" max="1539" width="167.42578125" style="46" customWidth="1"/>
    <col min="1540" max="1540" width="27.85546875" style="46" customWidth="1"/>
    <col min="1541" max="1541" width="26.140625" style="46" customWidth="1"/>
    <col min="1542" max="1542" width="26.85546875" style="46" customWidth="1"/>
    <col min="1543" max="1543" width="34.5703125" style="46" customWidth="1"/>
    <col min="1544" max="1544" width="23.28515625" style="46" customWidth="1"/>
    <col min="1545" max="1545" width="25.140625" style="46" customWidth="1"/>
    <col min="1546" max="1546" width="24.85546875" style="46" customWidth="1"/>
    <col min="1547" max="1547" width="22" style="46" customWidth="1"/>
    <col min="1548" max="1548" width="25.7109375" style="46" customWidth="1"/>
    <col min="1549" max="1549" width="26.140625" style="46" customWidth="1"/>
    <col min="1550" max="1550" width="27.5703125" style="46" customWidth="1"/>
    <col min="1551" max="1551" width="27.140625" style="46" customWidth="1"/>
    <col min="1552" max="1552" width="32.85546875" style="46" customWidth="1"/>
    <col min="1553" max="1553" width="22.42578125" style="46" customWidth="1"/>
    <col min="1554" max="1554" width="28.140625" style="46" customWidth="1"/>
    <col min="1555" max="1555" width="52.42578125" style="46" customWidth="1"/>
    <col min="1556" max="1556" width="32.42578125" style="46" customWidth="1"/>
    <col min="1557" max="1557" width="24.5703125" style="46" customWidth="1"/>
    <col min="1558" max="1558" width="35" style="46" customWidth="1"/>
    <col min="1559" max="1559" width="35.140625" style="46" customWidth="1"/>
    <col min="1560" max="1560" width="41.140625" style="46" customWidth="1"/>
    <col min="1561" max="1561" width="16.42578125" style="46" customWidth="1"/>
    <col min="1562" max="1562" width="21.42578125" style="46" customWidth="1"/>
    <col min="1563" max="1563" width="31.42578125" style="46" customWidth="1"/>
    <col min="1564" max="1564" width="18.140625" style="46" customWidth="1"/>
    <col min="1565" max="1792" width="9.140625" style="46"/>
    <col min="1793" max="1793" width="9.28515625" style="46" customWidth="1"/>
    <col min="1794" max="1794" width="12.85546875" style="46" customWidth="1"/>
    <col min="1795" max="1795" width="167.42578125" style="46" customWidth="1"/>
    <col min="1796" max="1796" width="27.85546875" style="46" customWidth="1"/>
    <col min="1797" max="1797" width="26.140625" style="46" customWidth="1"/>
    <col min="1798" max="1798" width="26.85546875" style="46" customWidth="1"/>
    <col min="1799" max="1799" width="34.5703125" style="46" customWidth="1"/>
    <col min="1800" max="1800" width="23.28515625" style="46" customWidth="1"/>
    <col min="1801" max="1801" width="25.140625" style="46" customWidth="1"/>
    <col min="1802" max="1802" width="24.85546875" style="46" customWidth="1"/>
    <col min="1803" max="1803" width="22" style="46" customWidth="1"/>
    <col min="1804" max="1804" width="25.7109375" style="46" customWidth="1"/>
    <col min="1805" max="1805" width="26.140625" style="46" customWidth="1"/>
    <col min="1806" max="1806" width="27.5703125" style="46" customWidth="1"/>
    <col min="1807" max="1807" width="27.140625" style="46" customWidth="1"/>
    <col min="1808" max="1808" width="32.85546875" style="46" customWidth="1"/>
    <col min="1809" max="1809" width="22.42578125" style="46" customWidth="1"/>
    <col min="1810" max="1810" width="28.140625" style="46" customWidth="1"/>
    <col min="1811" max="1811" width="52.42578125" style="46" customWidth="1"/>
    <col min="1812" max="1812" width="32.42578125" style="46" customWidth="1"/>
    <col min="1813" max="1813" width="24.5703125" style="46" customWidth="1"/>
    <col min="1814" max="1814" width="35" style="46" customWidth="1"/>
    <col min="1815" max="1815" width="35.140625" style="46" customWidth="1"/>
    <col min="1816" max="1816" width="41.140625" style="46" customWidth="1"/>
    <col min="1817" max="1817" width="16.42578125" style="46" customWidth="1"/>
    <col min="1818" max="1818" width="21.42578125" style="46" customWidth="1"/>
    <col min="1819" max="1819" width="31.42578125" style="46" customWidth="1"/>
    <col min="1820" max="1820" width="18.140625" style="46" customWidth="1"/>
    <col min="1821" max="2048" width="9.140625" style="46"/>
    <col min="2049" max="2049" width="9.28515625" style="46" customWidth="1"/>
    <col min="2050" max="2050" width="12.85546875" style="46" customWidth="1"/>
    <col min="2051" max="2051" width="167.42578125" style="46" customWidth="1"/>
    <col min="2052" max="2052" width="27.85546875" style="46" customWidth="1"/>
    <col min="2053" max="2053" width="26.140625" style="46" customWidth="1"/>
    <col min="2054" max="2054" width="26.85546875" style="46" customWidth="1"/>
    <col min="2055" max="2055" width="34.5703125" style="46" customWidth="1"/>
    <col min="2056" max="2056" width="23.28515625" style="46" customWidth="1"/>
    <col min="2057" max="2057" width="25.140625" style="46" customWidth="1"/>
    <col min="2058" max="2058" width="24.85546875" style="46" customWidth="1"/>
    <col min="2059" max="2059" width="22" style="46" customWidth="1"/>
    <col min="2060" max="2060" width="25.7109375" style="46" customWidth="1"/>
    <col min="2061" max="2061" width="26.140625" style="46" customWidth="1"/>
    <col min="2062" max="2062" width="27.5703125" style="46" customWidth="1"/>
    <col min="2063" max="2063" width="27.140625" style="46" customWidth="1"/>
    <col min="2064" max="2064" width="32.85546875" style="46" customWidth="1"/>
    <col min="2065" max="2065" width="22.42578125" style="46" customWidth="1"/>
    <col min="2066" max="2066" width="28.140625" style="46" customWidth="1"/>
    <col min="2067" max="2067" width="52.42578125" style="46" customWidth="1"/>
    <col min="2068" max="2068" width="32.42578125" style="46" customWidth="1"/>
    <col min="2069" max="2069" width="24.5703125" style="46" customWidth="1"/>
    <col min="2070" max="2070" width="35" style="46" customWidth="1"/>
    <col min="2071" max="2071" width="35.140625" style="46" customWidth="1"/>
    <col min="2072" max="2072" width="41.140625" style="46" customWidth="1"/>
    <col min="2073" max="2073" width="16.42578125" style="46" customWidth="1"/>
    <col min="2074" max="2074" width="21.42578125" style="46" customWidth="1"/>
    <col min="2075" max="2075" width="31.42578125" style="46" customWidth="1"/>
    <col min="2076" max="2076" width="18.140625" style="46" customWidth="1"/>
    <col min="2077" max="2304" width="9.140625" style="46"/>
    <col min="2305" max="2305" width="9.28515625" style="46" customWidth="1"/>
    <col min="2306" max="2306" width="12.85546875" style="46" customWidth="1"/>
    <col min="2307" max="2307" width="167.42578125" style="46" customWidth="1"/>
    <col min="2308" max="2308" width="27.85546875" style="46" customWidth="1"/>
    <col min="2309" max="2309" width="26.140625" style="46" customWidth="1"/>
    <col min="2310" max="2310" width="26.85546875" style="46" customWidth="1"/>
    <col min="2311" max="2311" width="34.5703125" style="46" customWidth="1"/>
    <col min="2312" max="2312" width="23.28515625" style="46" customWidth="1"/>
    <col min="2313" max="2313" width="25.140625" style="46" customWidth="1"/>
    <col min="2314" max="2314" width="24.85546875" style="46" customWidth="1"/>
    <col min="2315" max="2315" width="22" style="46" customWidth="1"/>
    <col min="2316" max="2316" width="25.7109375" style="46" customWidth="1"/>
    <col min="2317" max="2317" width="26.140625" style="46" customWidth="1"/>
    <col min="2318" max="2318" width="27.5703125" style="46" customWidth="1"/>
    <col min="2319" max="2319" width="27.140625" style="46" customWidth="1"/>
    <col min="2320" max="2320" width="32.85546875" style="46" customWidth="1"/>
    <col min="2321" max="2321" width="22.42578125" style="46" customWidth="1"/>
    <col min="2322" max="2322" width="28.140625" style="46" customWidth="1"/>
    <col min="2323" max="2323" width="52.42578125" style="46" customWidth="1"/>
    <col min="2324" max="2324" width="32.42578125" style="46" customWidth="1"/>
    <col min="2325" max="2325" width="24.5703125" style="46" customWidth="1"/>
    <col min="2326" max="2326" width="35" style="46" customWidth="1"/>
    <col min="2327" max="2327" width="35.140625" style="46" customWidth="1"/>
    <col min="2328" max="2328" width="41.140625" style="46" customWidth="1"/>
    <col min="2329" max="2329" width="16.42578125" style="46" customWidth="1"/>
    <col min="2330" max="2330" width="21.42578125" style="46" customWidth="1"/>
    <col min="2331" max="2331" width="31.42578125" style="46" customWidth="1"/>
    <col min="2332" max="2332" width="18.140625" style="46" customWidth="1"/>
    <col min="2333" max="2560" width="9.140625" style="46"/>
    <col min="2561" max="2561" width="9.28515625" style="46" customWidth="1"/>
    <col min="2562" max="2562" width="12.85546875" style="46" customWidth="1"/>
    <col min="2563" max="2563" width="167.42578125" style="46" customWidth="1"/>
    <col min="2564" max="2564" width="27.85546875" style="46" customWidth="1"/>
    <col min="2565" max="2565" width="26.140625" style="46" customWidth="1"/>
    <col min="2566" max="2566" width="26.85546875" style="46" customWidth="1"/>
    <col min="2567" max="2567" width="34.5703125" style="46" customWidth="1"/>
    <col min="2568" max="2568" width="23.28515625" style="46" customWidth="1"/>
    <col min="2569" max="2569" width="25.140625" style="46" customWidth="1"/>
    <col min="2570" max="2570" width="24.85546875" style="46" customWidth="1"/>
    <col min="2571" max="2571" width="22" style="46" customWidth="1"/>
    <col min="2572" max="2572" width="25.7109375" style="46" customWidth="1"/>
    <col min="2573" max="2573" width="26.140625" style="46" customWidth="1"/>
    <col min="2574" max="2574" width="27.5703125" style="46" customWidth="1"/>
    <col min="2575" max="2575" width="27.140625" style="46" customWidth="1"/>
    <col min="2576" max="2576" width="32.85546875" style="46" customWidth="1"/>
    <col min="2577" max="2577" width="22.42578125" style="46" customWidth="1"/>
    <col min="2578" max="2578" width="28.140625" style="46" customWidth="1"/>
    <col min="2579" max="2579" width="52.42578125" style="46" customWidth="1"/>
    <col min="2580" max="2580" width="32.42578125" style="46" customWidth="1"/>
    <col min="2581" max="2581" width="24.5703125" style="46" customWidth="1"/>
    <col min="2582" max="2582" width="35" style="46" customWidth="1"/>
    <col min="2583" max="2583" width="35.140625" style="46" customWidth="1"/>
    <col min="2584" max="2584" width="41.140625" style="46" customWidth="1"/>
    <col min="2585" max="2585" width="16.42578125" style="46" customWidth="1"/>
    <col min="2586" max="2586" width="21.42578125" style="46" customWidth="1"/>
    <col min="2587" max="2587" width="31.42578125" style="46" customWidth="1"/>
    <col min="2588" max="2588" width="18.140625" style="46" customWidth="1"/>
    <col min="2589" max="2816" width="9.140625" style="46"/>
    <col min="2817" max="2817" width="9.28515625" style="46" customWidth="1"/>
    <col min="2818" max="2818" width="12.85546875" style="46" customWidth="1"/>
    <col min="2819" max="2819" width="167.42578125" style="46" customWidth="1"/>
    <col min="2820" max="2820" width="27.85546875" style="46" customWidth="1"/>
    <col min="2821" max="2821" width="26.140625" style="46" customWidth="1"/>
    <col min="2822" max="2822" width="26.85546875" style="46" customWidth="1"/>
    <col min="2823" max="2823" width="34.5703125" style="46" customWidth="1"/>
    <col min="2824" max="2824" width="23.28515625" style="46" customWidth="1"/>
    <col min="2825" max="2825" width="25.140625" style="46" customWidth="1"/>
    <col min="2826" max="2826" width="24.85546875" style="46" customWidth="1"/>
    <col min="2827" max="2827" width="22" style="46" customWidth="1"/>
    <col min="2828" max="2828" width="25.7109375" style="46" customWidth="1"/>
    <col min="2829" max="2829" width="26.140625" style="46" customWidth="1"/>
    <col min="2830" max="2830" width="27.5703125" style="46" customWidth="1"/>
    <col min="2831" max="2831" width="27.140625" style="46" customWidth="1"/>
    <col min="2832" max="2832" width="32.85546875" style="46" customWidth="1"/>
    <col min="2833" max="2833" width="22.42578125" style="46" customWidth="1"/>
    <col min="2834" max="2834" width="28.140625" style="46" customWidth="1"/>
    <col min="2835" max="2835" width="52.42578125" style="46" customWidth="1"/>
    <col min="2836" max="2836" width="32.42578125" style="46" customWidth="1"/>
    <col min="2837" max="2837" width="24.5703125" style="46" customWidth="1"/>
    <col min="2838" max="2838" width="35" style="46" customWidth="1"/>
    <col min="2839" max="2839" width="35.140625" style="46" customWidth="1"/>
    <col min="2840" max="2840" width="41.140625" style="46" customWidth="1"/>
    <col min="2841" max="2841" width="16.42578125" style="46" customWidth="1"/>
    <col min="2842" max="2842" width="21.42578125" style="46" customWidth="1"/>
    <col min="2843" max="2843" width="31.42578125" style="46" customWidth="1"/>
    <col min="2844" max="2844" width="18.140625" style="46" customWidth="1"/>
    <col min="2845" max="3072" width="9.140625" style="46"/>
    <col min="3073" max="3073" width="9.28515625" style="46" customWidth="1"/>
    <col min="3074" max="3074" width="12.85546875" style="46" customWidth="1"/>
    <col min="3075" max="3075" width="167.42578125" style="46" customWidth="1"/>
    <col min="3076" max="3076" width="27.85546875" style="46" customWidth="1"/>
    <col min="3077" max="3077" width="26.140625" style="46" customWidth="1"/>
    <col min="3078" max="3078" width="26.85546875" style="46" customWidth="1"/>
    <col min="3079" max="3079" width="34.5703125" style="46" customWidth="1"/>
    <col min="3080" max="3080" width="23.28515625" style="46" customWidth="1"/>
    <col min="3081" max="3081" width="25.140625" style="46" customWidth="1"/>
    <col min="3082" max="3082" width="24.85546875" style="46" customWidth="1"/>
    <col min="3083" max="3083" width="22" style="46" customWidth="1"/>
    <col min="3084" max="3084" width="25.7109375" style="46" customWidth="1"/>
    <col min="3085" max="3085" width="26.140625" style="46" customWidth="1"/>
    <col min="3086" max="3086" width="27.5703125" style="46" customWidth="1"/>
    <col min="3087" max="3087" width="27.140625" style="46" customWidth="1"/>
    <col min="3088" max="3088" width="32.85546875" style="46" customWidth="1"/>
    <col min="3089" max="3089" width="22.42578125" style="46" customWidth="1"/>
    <col min="3090" max="3090" width="28.140625" style="46" customWidth="1"/>
    <col min="3091" max="3091" width="52.42578125" style="46" customWidth="1"/>
    <col min="3092" max="3092" width="32.42578125" style="46" customWidth="1"/>
    <col min="3093" max="3093" width="24.5703125" style="46" customWidth="1"/>
    <col min="3094" max="3094" width="35" style="46" customWidth="1"/>
    <col min="3095" max="3095" width="35.140625" style="46" customWidth="1"/>
    <col min="3096" max="3096" width="41.140625" style="46" customWidth="1"/>
    <col min="3097" max="3097" width="16.42578125" style="46" customWidth="1"/>
    <col min="3098" max="3098" width="21.42578125" style="46" customWidth="1"/>
    <col min="3099" max="3099" width="31.42578125" style="46" customWidth="1"/>
    <col min="3100" max="3100" width="18.140625" style="46" customWidth="1"/>
    <col min="3101" max="3328" width="9.140625" style="46"/>
    <col min="3329" max="3329" width="9.28515625" style="46" customWidth="1"/>
    <col min="3330" max="3330" width="12.85546875" style="46" customWidth="1"/>
    <col min="3331" max="3331" width="167.42578125" style="46" customWidth="1"/>
    <col min="3332" max="3332" width="27.85546875" style="46" customWidth="1"/>
    <col min="3333" max="3333" width="26.140625" style="46" customWidth="1"/>
    <col min="3334" max="3334" width="26.85546875" style="46" customWidth="1"/>
    <col min="3335" max="3335" width="34.5703125" style="46" customWidth="1"/>
    <col min="3336" max="3336" width="23.28515625" style="46" customWidth="1"/>
    <col min="3337" max="3337" width="25.140625" style="46" customWidth="1"/>
    <col min="3338" max="3338" width="24.85546875" style="46" customWidth="1"/>
    <col min="3339" max="3339" width="22" style="46" customWidth="1"/>
    <col min="3340" max="3340" width="25.7109375" style="46" customWidth="1"/>
    <col min="3341" max="3341" width="26.140625" style="46" customWidth="1"/>
    <col min="3342" max="3342" width="27.5703125" style="46" customWidth="1"/>
    <col min="3343" max="3343" width="27.140625" style="46" customWidth="1"/>
    <col min="3344" max="3344" width="32.85546875" style="46" customWidth="1"/>
    <col min="3345" max="3345" width="22.42578125" style="46" customWidth="1"/>
    <col min="3346" max="3346" width="28.140625" style="46" customWidth="1"/>
    <col min="3347" max="3347" width="52.42578125" style="46" customWidth="1"/>
    <col min="3348" max="3348" width="32.42578125" style="46" customWidth="1"/>
    <col min="3349" max="3349" width="24.5703125" style="46" customWidth="1"/>
    <col min="3350" max="3350" width="35" style="46" customWidth="1"/>
    <col min="3351" max="3351" width="35.140625" style="46" customWidth="1"/>
    <col min="3352" max="3352" width="41.140625" style="46" customWidth="1"/>
    <col min="3353" max="3353" width="16.42578125" style="46" customWidth="1"/>
    <col min="3354" max="3354" width="21.42578125" style="46" customWidth="1"/>
    <col min="3355" max="3355" width="31.42578125" style="46" customWidth="1"/>
    <col min="3356" max="3356" width="18.140625" style="46" customWidth="1"/>
    <col min="3357" max="3584" width="9.140625" style="46"/>
    <col min="3585" max="3585" width="9.28515625" style="46" customWidth="1"/>
    <col min="3586" max="3586" width="12.85546875" style="46" customWidth="1"/>
    <col min="3587" max="3587" width="167.42578125" style="46" customWidth="1"/>
    <col min="3588" max="3588" width="27.85546875" style="46" customWidth="1"/>
    <col min="3589" max="3589" width="26.140625" style="46" customWidth="1"/>
    <col min="3590" max="3590" width="26.85546875" style="46" customWidth="1"/>
    <col min="3591" max="3591" width="34.5703125" style="46" customWidth="1"/>
    <col min="3592" max="3592" width="23.28515625" style="46" customWidth="1"/>
    <col min="3593" max="3593" width="25.140625" style="46" customWidth="1"/>
    <col min="3594" max="3594" width="24.85546875" style="46" customWidth="1"/>
    <col min="3595" max="3595" width="22" style="46" customWidth="1"/>
    <col min="3596" max="3596" width="25.7109375" style="46" customWidth="1"/>
    <col min="3597" max="3597" width="26.140625" style="46" customWidth="1"/>
    <col min="3598" max="3598" width="27.5703125" style="46" customWidth="1"/>
    <col min="3599" max="3599" width="27.140625" style="46" customWidth="1"/>
    <col min="3600" max="3600" width="32.85546875" style="46" customWidth="1"/>
    <col min="3601" max="3601" width="22.42578125" style="46" customWidth="1"/>
    <col min="3602" max="3602" width="28.140625" style="46" customWidth="1"/>
    <col min="3603" max="3603" width="52.42578125" style="46" customWidth="1"/>
    <col min="3604" max="3604" width="32.42578125" style="46" customWidth="1"/>
    <col min="3605" max="3605" width="24.5703125" style="46" customWidth="1"/>
    <col min="3606" max="3606" width="35" style="46" customWidth="1"/>
    <col min="3607" max="3607" width="35.140625" style="46" customWidth="1"/>
    <col min="3608" max="3608" width="41.140625" style="46" customWidth="1"/>
    <col min="3609" max="3609" width="16.42578125" style="46" customWidth="1"/>
    <col min="3610" max="3610" width="21.42578125" style="46" customWidth="1"/>
    <col min="3611" max="3611" width="31.42578125" style="46" customWidth="1"/>
    <col min="3612" max="3612" width="18.140625" style="46" customWidth="1"/>
    <col min="3613" max="3840" width="9.140625" style="46"/>
    <col min="3841" max="3841" width="9.28515625" style="46" customWidth="1"/>
    <col min="3842" max="3842" width="12.85546875" style="46" customWidth="1"/>
    <col min="3843" max="3843" width="167.42578125" style="46" customWidth="1"/>
    <col min="3844" max="3844" width="27.85546875" style="46" customWidth="1"/>
    <col min="3845" max="3845" width="26.140625" style="46" customWidth="1"/>
    <col min="3846" max="3846" width="26.85546875" style="46" customWidth="1"/>
    <col min="3847" max="3847" width="34.5703125" style="46" customWidth="1"/>
    <col min="3848" max="3848" width="23.28515625" style="46" customWidth="1"/>
    <col min="3849" max="3849" width="25.140625" style="46" customWidth="1"/>
    <col min="3850" max="3850" width="24.85546875" style="46" customWidth="1"/>
    <col min="3851" max="3851" width="22" style="46" customWidth="1"/>
    <col min="3852" max="3852" width="25.7109375" style="46" customWidth="1"/>
    <col min="3853" max="3853" width="26.140625" style="46" customWidth="1"/>
    <col min="3854" max="3854" width="27.5703125" style="46" customWidth="1"/>
    <col min="3855" max="3855" width="27.140625" style="46" customWidth="1"/>
    <col min="3856" max="3856" width="32.85546875" style="46" customWidth="1"/>
    <col min="3857" max="3857" width="22.42578125" style="46" customWidth="1"/>
    <col min="3858" max="3858" width="28.140625" style="46" customWidth="1"/>
    <col min="3859" max="3859" width="52.42578125" style="46" customWidth="1"/>
    <col min="3860" max="3860" width="32.42578125" style="46" customWidth="1"/>
    <col min="3861" max="3861" width="24.5703125" style="46" customWidth="1"/>
    <col min="3862" max="3862" width="35" style="46" customWidth="1"/>
    <col min="3863" max="3863" width="35.140625" style="46" customWidth="1"/>
    <col min="3864" max="3864" width="41.140625" style="46" customWidth="1"/>
    <col min="3865" max="3865" width="16.42578125" style="46" customWidth="1"/>
    <col min="3866" max="3866" width="21.42578125" style="46" customWidth="1"/>
    <col min="3867" max="3867" width="31.42578125" style="46" customWidth="1"/>
    <col min="3868" max="3868" width="18.140625" style="46" customWidth="1"/>
    <col min="3869" max="4096" width="9.140625" style="46"/>
    <col min="4097" max="4097" width="9.28515625" style="46" customWidth="1"/>
    <col min="4098" max="4098" width="12.85546875" style="46" customWidth="1"/>
    <col min="4099" max="4099" width="167.42578125" style="46" customWidth="1"/>
    <col min="4100" max="4100" width="27.85546875" style="46" customWidth="1"/>
    <col min="4101" max="4101" width="26.140625" style="46" customWidth="1"/>
    <col min="4102" max="4102" width="26.85546875" style="46" customWidth="1"/>
    <col min="4103" max="4103" width="34.5703125" style="46" customWidth="1"/>
    <col min="4104" max="4104" width="23.28515625" style="46" customWidth="1"/>
    <col min="4105" max="4105" width="25.140625" style="46" customWidth="1"/>
    <col min="4106" max="4106" width="24.85546875" style="46" customWidth="1"/>
    <col min="4107" max="4107" width="22" style="46" customWidth="1"/>
    <col min="4108" max="4108" width="25.7109375" style="46" customWidth="1"/>
    <col min="4109" max="4109" width="26.140625" style="46" customWidth="1"/>
    <col min="4110" max="4110" width="27.5703125" style="46" customWidth="1"/>
    <col min="4111" max="4111" width="27.140625" style="46" customWidth="1"/>
    <col min="4112" max="4112" width="32.85546875" style="46" customWidth="1"/>
    <col min="4113" max="4113" width="22.42578125" style="46" customWidth="1"/>
    <col min="4114" max="4114" width="28.140625" style="46" customWidth="1"/>
    <col min="4115" max="4115" width="52.42578125" style="46" customWidth="1"/>
    <col min="4116" max="4116" width="32.42578125" style="46" customWidth="1"/>
    <col min="4117" max="4117" width="24.5703125" style="46" customWidth="1"/>
    <col min="4118" max="4118" width="35" style="46" customWidth="1"/>
    <col min="4119" max="4119" width="35.140625" style="46" customWidth="1"/>
    <col min="4120" max="4120" width="41.140625" style="46" customWidth="1"/>
    <col min="4121" max="4121" width="16.42578125" style="46" customWidth="1"/>
    <col min="4122" max="4122" width="21.42578125" style="46" customWidth="1"/>
    <col min="4123" max="4123" width="31.42578125" style="46" customWidth="1"/>
    <col min="4124" max="4124" width="18.140625" style="46" customWidth="1"/>
    <col min="4125" max="4352" width="9.140625" style="46"/>
    <col min="4353" max="4353" width="9.28515625" style="46" customWidth="1"/>
    <col min="4354" max="4354" width="12.85546875" style="46" customWidth="1"/>
    <col min="4355" max="4355" width="167.42578125" style="46" customWidth="1"/>
    <col min="4356" max="4356" width="27.85546875" style="46" customWidth="1"/>
    <col min="4357" max="4357" width="26.140625" style="46" customWidth="1"/>
    <col min="4358" max="4358" width="26.85546875" style="46" customWidth="1"/>
    <col min="4359" max="4359" width="34.5703125" style="46" customWidth="1"/>
    <col min="4360" max="4360" width="23.28515625" style="46" customWidth="1"/>
    <col min="4361" max="4361" width="25.140625" style="46" customWidth="1"/>
    <col min="4362" max="4362" width="24.85546875" style="46" customWidth="1"/>
    <col min="4363" max="4363" width="22" style="46" customWidth="1"/>
    <col min="4364" max="4364" width="25.7109375" style="46" customWidth="1"/>
    <col min="4365" max="4365" width="26.140625" style="46" customWidth="1"/>
    <col min="4366" max="4366" width="27.5703125" style="46" customWidth="1"/>
    <col min="4367" max="4367" width="27.140625" style="46" customWidth="1"/>
    <col min="4368" max="4368" width="32.85546875" style="46" customWidth="1"/>
    <col min="4369" max="4369" width="22.42578125" style="46" customWidth="1"/>
    <col min="4370" max="4370" width="28.140625" style="46" customWidth="1"/>
    <col min="4371" max="4371" width="52.42578125" style="46" customWidth="1"/>
    <col min="4372" max="4372" width="32.42578125" style="46" customWidth="1"/>
    <col min="4373" max="4373" width="24.5703125" style="46" customWidth="1"/>
    <col min="4374" max="4374" width="35" style="46" customWidth="1"/>
    <col min="4375" max="4375" width="35.140625" style="46" customWidth="1"/>
    <col min="4376" max="4376" width="41.140625" style="46" customWidth="1"/>
    <col min="4377" max="4377" width="16.42578125" style="46" customWidth="1"/>
    <col min="4378" max="4378" width="21.42578125" style="46" customWidth="1"/>
    <col min="4379" max="4379" width="31.42578125" style="46" customWidth="1"/>
    <col min="4380" max="4380" width="18.140625" style="46" customWidth="1"/>
    <col min="4381" max="4608" width="9.140625" style="46"/>
    <col min="4609" max="4609" width="9.28515625" style="46" customWidth="1"/>
    <col min="4610" max="4610" width="12.85546875" style="46" customWidth="1"/>
    <col min="4611" max="4611" width="167.42578125" style="46" customWidth="1"/>
    <col min="4612" max="4612" width="27.85546875" style="46" customWidth="1"/>
    <col min="4613" max="4613" width="26.140625" style="46" customWidth="1"/>
    <col min="4614" max="4614" width="26.85546875" style="46" customWidth="1"/>
    <col min="4615" max="4615" width="34.5703125" style="46" customWidth="1"/>
    <col min="4616" max="4616" width="23.28515625" style="46" customWidth="1"/>
    <col min="4617" max="4617" width="25.140625" style="46" customWidth="1"/>
    <col min="4618" max="4618" width="24.85546875" style="46" customWidth="1"/>
    <col min="4619" max="4619" width="22" style="46" customWidth="1"/>
    <col min="4620" max="4620" width="25.7109375" style="46" customWidth="1"/>
    <col min="4621" max="4621" width="26.140625" style="46" customWidth="1"/>
    <col min="4622" max="4622" width="27.5703125" style="46" customWidth="1"/>
    <col min="4623" max="4623" width="27.140625" style="46" customWidth="1"/>
    <col min="4624" max="4624" width="32.85546875" style="46" customWidth="1"/>
    <col min="4625" max="4625" width="22.42578125" style="46" customWidth="1"/>
    <col min="4626" max="4626" width="28.140625" style="46" customWidth="1"/>
    <col min="4627" max="4627" width="52.42578125" style="46" customWidth="1"/>
    <col min="4628" max="4628" width="32.42578125" style="46" customWidth="1"/>
    <col min="4629" max="4629" width="24.5703125" style="46" customWidth="1"/>
    <col min="4630" max="4630" width="35" style="46" customWidth="1"/>
    <col min="4631" max="4631" width="35.140625" style="46" customWidth="1"/>
    <col min="4632" max="4632" width="41.140625" style="46" customWidth="1"/>
    <col min="4633" max="4633" width="16.42578125" style="46" customWidth="1"/>
    <col min="4634" max="4634" width="21.42578125" style="46" customWidth="1"/>
    <col min="4635" max="4635" width="31.42578125" style="46" customWidth="1"/>
    <col min="4636" max="4636" width="18.140625" style="46" customWidth="1"/>
    <col min="4637" max="4864" width="9.140625" style="46"/>
    <col min="4865" max="4865" width="9.28515625" style="46" customWidth="1"/>
    <col min="4866" max="4866" width="12.85546875" style="46" customWidth="1"/>
    <col min="4867" max="4867" width="167.42578125" style="46" customWidth="1"/>
    <col min="4868" max="4868" width="27.85546875" style="46" customWidth="1"/>
    <col min="4869" max="4869" width="26.140625" style="46" customWidth="1"/>
    <col min="4870" max="4870" width="26.85546875" style="46" customWidth="1"/>
    <col min="4871" max="4871" width="34.5703125" style="46" customWidth="1"/>
    <col min="4872" max="4872" width="23.28515625" style="46" customWidth="1"/>
    <col min="4873" max="4873" width="25.140625" style="46" customWidth="1"/>
    <col min="4874" max="4874" width="24.85546875" style="46" customWidth="1"/>
    <col min="4875" max="4875" width="22" style="46" customWidth="1"/>
    <col min="4876" max="4876" width="25.7109375" style="46" customWidth="1"/>
    <col min="4877" max="4877" width="26.140625" style="46" customWidth="1"/>
    <col min="4878" max="4878" width="27.5703125" style="46" customWidth="1"/>
    <col min="4879" max="4879" width="27.140625" style="46" customWidth="1"/>
    <col min="4880" max="4880" width="32.85546875" style="46" customWidth="1"/>
    <col min="4881" max="4881" width="22.42578125" style="46" customWidth="1"/>
    <col min="4882" max="4882" width="28.140625" style="46" customWidth="1"/>
    <col min="4883" max="4883" width="52.42578125" style="46" customWidth="1"/>
    <col min="4884" max="4884" width="32.42578125" style="46" customWidth="1"/>
    <col min="4885" max="4885" width="24.5703125" style="46" customWidth="1"/>
    <col min="4886" max="4886" width="35" style="46" customWidth="1"/>
    <col min="4887" max="4887" width="35.140625" style="46" customWidth="1"/>
    <col min="4888" max="4888" width="41.140625" style="46" customWidth="1"/>
    <col min="4889" max="4889" width="16.42578125" style="46" customWidth="1"/>
    <col min="4890" max="4890" width="21.42578125" style="46" customWidth="1"/>
    <col min="4891" max="4891" width="31.42578125" style="46" customWidth="1"/>
    <col min="4892" max="4892" width="18.140625" style="46" customWidth="1"/>
    <col min="4893" max="5120" width="9.140625" style="46"/>
    <col min="5121" max="5121" width="9.28515625" style="46" customWidth="1"/>
    <col min="5122" max="5122" width="12.85546875" style="46" customWidth="1"/>
    <col min="5123" max="5123" width="167.42578125" style="46" customWidth="1"/>
    <col min="5124" max="5124" width="27.85546875" style="46" customWidth="1"/>
    <col min="5125" max="5125" width="26.140625" style="46" customWidth="1"/>
    <col min="5126" max="5126" width="26.85546875" style="46" customWidth="1"/>
    <col min="5127" max="5127" width="34.5703125" style="46" customWidth="1"/>
    <col min="5128" max="5128" width="23.28515625" style="46" customWidth="1"/>
    <col min="5129" max="5129" width="25.140625" style="46" customWidth="1"/>
    <col min="5130" max="5130" width="24.85546875" style="46" customWidth="1"/>
    <col min="5131" max="5131" width="22" style="46" customWidth="1"/>
    <col min="5132" max="5132" width="25.7109375" style="46" customWidth="1"/>
    <col min="5133" max="5133" width="26.140625" style="46" customWidth="1"/>
    <col min="5134" max="5134" width="27.5703125" style="46" customWidth="1"/>
    <col min="5135" max="5135" width="27.140625" style="46" customWidth="1"/>
    <col min="5136" max="5136" width="32.85546875" style="46" customWidth="1"/>
    <col min="5137" max="5137" width="22.42578125" style="46" customWidth="1"/>
    <col min="5138" max="5138" width="28.140625" style="46" customWidth="1"/>
    <col min="5139" max="5139" width="52.42578125" style="46" customWidth="1"/>
    <col min="5140" max="5140" width="32.42578125" style="46" customWidth="1"/>
    <col min="5141" max="5141" width="24.5703125" style="46" customWidth="1"/>
    <col min="5142" max="5142" width="35" style="46" customWidth="1"/>
    <col min="5143" max="5143" width="35.140625" style="46" customWidth="1"/>
    <col min="5144" max="5144" width="41.140625" style="46" customWidth="1"/>
    <col min="5145" max="5145" width="16.42578125" style="46" customWidth="1"/>
    <col min="5146" max="5146" width="21.42578125" style="46" customWidth="1"/>
    <col min="5147" max="5147" width="31.42578125" style="46" customWidth="1"/>
    <col min="5148" max="5148" width="18.140625" style="46" customWidth="1"/>
    <col min="5149" max="5376" width="9.140625" style="46"/>
    <col min="5377" max="5377" width="9.28515625" style="46" customWidth="1"/>
    <col min="5378" max="5378" width="12.85546875" style="46" customWidth="1"/>
    <col min="5379" max="5379" width="167.42578125" style="46" customWidth="1"/>
    <col min="5380" max="5380" width="27.85546875" style="46" customWidth="1"/>
    <col min="5381" max="5381" width="26.140625" style="46" customWidth="1"/>
    <col min="5382" max="5382" width="26.85546875" style="46" customWidth="1"/>
    <col min="5383" max="5383" width="34.5703125" style="46" customWidth="1"/>
    <col min="5384" max="5384" width="23.28515625" style="46" customWidth="1"/>
    <col min="5385" max="5385" width="25.140625" style="46" customWidth="1"/>
    <col min="5386" max="5386" width="24.85546875" style="46" customWidth="1"/>
    <col min="5387" max="5387" width="22" style="46" customWidth="1"/>
    <col min="5388" max="5388" width="25.7109375" style="46" customWidth="1"/>
    <col min="5389" max="5389" width="26.140625" style="46" customWidth="1"/>
    <col min="5390" max="5390" width="27.5703125" style="46" customWidth="1"/>
    <col min="5391" max="5391" width="27.140625" style="46" customWidth="1"/>
    <col min="5392" max="5392" width="32.85546875" style="46" customWidth="1"/>
    <col min="5393" max="5393" width="22.42578125" style="46" customWidth="1"/>
    <col min="5394" max="5394" width="28.140625" style="46" customWidth="1"/>
    <col min="5395" max="5395" width="52.42578125" style="46" customWidth="1"/>
    <col min="5396" max="5396" width="32.42578125" style="46" customWidth="1"/>
    <col min="5397" max="5397" width="24.5703125" style="46" customWidth="1"/>
    <col min="5398" max="5398" width="35" style="46" customWidth="1"/>
    <col min="5399" max="5399" width="35.140625" style="46" customWidth="1"/>
    <col min="5400" max="5400" width="41.140625" style="46" customWidth="1"/>
    <col min="5401" max="5401" width="16.42578125" style="46" customWidth="1"/>
    <col min="5402" max="5402" width="21.42578125" style="46" customWidth="1"/>
    <col min="5403" max="5403" width="31.42578125" style="46" customWidth="1"/>
    <col min="5404" max="5404" width="18.140625" style="46" customWidth="1"/>
    <col min="5405" max="5632" width="9.140625" style="46"/>
    <col min="5633" max="5633" width="9.28515625" style="46" customWidth="1"/>
    <col min="5634" max="5634" width="12.85546875" style="46" customWidth="1"/>
    <col min="5635" max="5635" width="167.42578125" style="46" customWidth="1"/>
    <col min="5636" max="5636" width="27.85546875" style="46" customWidth="1"/>
    <col min="5637" max="5637" width="26.140625" style="46" customWidth="1"/>
    <col min="5638" max="5638" width="26.85546875" style="46" customWidth="1"/>
    <col min="5639" max="5639" width="34.5703125" style="46" customWidth="1"/>
    <col min="5640" max="5640" width="23.28515625" style="46" customWidth="1"/>
    <col min="5641" max="5641" width="25.140625" style="46" customWidth="1"/>
    <col min="5642" max="5642" width="24.85546875" style="46" customWidth="1"/>
    <col min="5643" max="5643" width="22" style="46" customWidth="1"/>
    <col min="5644" max="5644" width="25.7109375" style="46" customWidth="1"/>
    <col min="5645" max="5645" width="26.140625" style="46" customWidth="1"/>
    <col min="5646" max="5646" width="27.5703125" style="46" customWidth="1"/>
    <col min="5647" max="5647" width="27.140625" style="46" customWidth="1"/>
    <col min="5648" max="5648" width="32.85546875" style="46" customWidth="1"/>
    <col min="5649" max="5649" width="22.42578125" style="46" customWidth="1"/>
    <col min="5650" max="5650" width="28.140625" style="46" customWidth="1"/>
    <col min="5651" max="5651" width="52.42578125" style="46" customWidth="1"/>
    <col min="5652" max="5652" width="32.42578125" style="46" customWidth="1"/>
    <col min="5653" max="5653" width="24.5703125" style="46" customWidth="1"/>
    <col min="5654" max="5654" width="35" style="46" customWidth="1"/>
    <col min="5655" max="5655" width="35.140625" style="46" customWidth="1"/>
    <col min="5656" max="5656" width="41.140625" style="46" customWidth="1"/>
    <col min="5657" max="5657" width="16.42578125" style="46" customWidth="1"/>
    <col min="5658" max="5658" width="21.42578125" style="46" customWidth="1"/>
    <col min="5659" max="5659" width="31.42578125" style="46" customWidth="1"/>
    <col min="5660" max="5660" width="18.140625" style="46" customWidth="1"/>
    <col min="5661" max="5888" width="9.140625" style="46"/>
    <col min="5889" max="5889" width="9.28515625" style="46" customWidth="1"/>
    <col min="5890" max="5890" width="12.85546875" style="46" customWidth="1"/>
    <col min="5891" max="5891" width="167.42578125" style="46" customWidth="1"/>
    <col min="5892" max="5892" width="27.85546875" style="46" customWidth="1"/>
    <col min="5893" max="5893" width="26.140625" style="46" customWidth="1"/>
    <col min="5894" max="5894" width="26.85546875" style="46" customWidth="1"/>
    <col min="5895" max="5895" width="34.5703125" style="46" customWidth="1"/>
    <col min="5896" max="5896" width="23.28515625" style="46" customWidth="1"/>
    <col min="5897" max="5897" width="25.140625" style="46" customWidth="1"/>
    <col min="5898" max="5898" width="24.85546875" style="46" customWidth="1"/>
    <col min="5899" max="5899" width="22" style="46" customWidth="1"/>
    <col min="5900" max="5900" width="25.7109375" style="46" customWidth="1"/>
    <col min="5901" max="5901" width="26.140625" style="46" customWidth="1"/>
    <col min="5902" max="5902" width="27.5703125" style="46" customWidth="1"/>
    <col min="5903" max="5903" width="27.140625" style="46" customWidth="1"/>
    <col min="5904" max="5904" width="32.85546875" style="46" customWidth="1"/>
    <col min="5905" max="5905" width="22.42578125" style="46" customWidth="1"/>
    <col min="5906" max="5906" width="28.140625" style="46" customWidth="1"/>
    <col min="5907" max="5907" width="52.42578125" style="46" customWidth="1"/>
    <col min="5908" max="5908" width="32.42578125" style="46" customWidth="1"/>
    <col min="5909" max="5909" width="24.5703125" style="46" customWidth="1"/>
    <col min="5910" max="5910" width="35" style="46" customWidth="1"/>
    <col min="5911" max="5911" width="35.140625" style="46" customWidth="1"/>
    <col min="5912" max="5912" width="41.140625" style="46" customWidth="1"/>
    <col min="5913" max="5913" width="16.42578125" style="46" customWidth="1"/>
    <col min="5914" max="5914" width="21.42578125" style="46" customWidth="1"/>
    <col min="5915" max="5915" width="31.42578125" style="46" customWidth="1"/>
    <col min="5916" max="5916" width="18.140625" style="46" customWidth="1"/>
    <col min="5917" max="6144" width="9.140625" style="46"/>
    <col min="6145" max="6145" width="9.28515625" style="46" customWidth="1"/>
    <col min="6146" max="6146" width="12.85546875" style="46" customWidth="1"/>
    <col min="6147" max="6147" width="167.42578125" style="46" customWidth="1"/>
    <col min="6148" max="6148" width="27.85546875" style="46" customWidth="1"/>
    <col min="6149" max="6149" width="26.140625" style="46" customWidth="1"/>
    <col min="6150" max="6150" width="26.85546875" style="46" customWidth="1"/>
    <col min="6151" max="6151" width="34.5703125" style="46" customWidth="1"/>
    <col min="6152" max="6152" width="23.28515625" style="46" customWidth="1"/>
    <col min="6153" max="6153" width="25.140625" style="46" customWidth="1"/>
    <col min="6154" max="6154" width="24.85546875" style="46" customWidth="1"/>
    <col min="6155" max="6155" width="22" style="46" customWidth="1"/>
    <col min="6156" max="6156" width="25.7109375" style="46" customWidth="1"/>
    <col min="6157" max="6157" width="26.140625" style="46" customWidth="1"/>
    <col min="6158" max="6158" width="27.5703125" style="46" customWidth="1"/>
    <col min="6159" max="6159" width="27.140625" style="46" customWidth="1"/>
    <col min="6160" max="6160" width="32.85546875" style="46" customWidth="1"/>
    <col min="6161" max="6161" width="22.42578125" style="46" customWidth="1"/>
    <col min="6162" max="6162" width="28.140625" style="46" customWidth="1"/>
    <col min="6163" max="6163" width="52.42578125" style="46" customWidth="1"/>
    <col min="6164" max="6164" width="32.42578125" style="46" customWidth="1"/>
    <col min="6165" max="6165" width="24.5703125" style="46" customWidth="1"/>
    <col min="6166" max="6166" width="35" style="46" customWidth="1"/>
    <col min="6167" max="6167" width="35.140625" style="46" customWidth="1"/>
    <col min="6168" max="6168" width="41.140625" style="46" customWidth="1"/>
    <col min="6169" max="6169" width="16.42578125" style="46" customWidth="1"/>
    <col min="6170" max="6170" width="21.42578125" style="46" customWidth="1"/>
    <col min="6171" max="6171" width="31.42578125" style="46" customWidth="1"/>
    <col min="6172" max="6172" width="18.140625" style="46" customWidth="1"/>
    <col min="6173" max="6400" width="9.140625" style="46"/>
    <col min="6401" max="6401" width="9.28515625" style="46" customWidth="1"/>
    <col min="6402" max="6402" width="12.85546875" style="46" customWidth="1"/>
    <col min="6403" max="6403" width="167.42578125" style="46" customWidth="1"/>
    <col min="6404" max="6404" width="27.85546875" style="46" customWidth="1"/>
    <col min="6405" max="6405" width="26.140625" style="46" customWidth="1"/>
    <col min="6406" max="6406" width="26.85546875" style="46" customWidth="1"/>
    <col min="6407" max="6407" width="34.5703125" style="46" customWidth="1"/>
    <col min="6408" max="6408" width="23.28515625" style="46" customWidth="1"/>
    <col min="6409" max="6409" width="25.140625" style="46" customWidth="1"/>
    <col min="6410" max="6410" width="24.85546875" style="46" customWidth="1"/>
    <col min="6411" max="6411" width="22" style="46" customWidth="1"/>
    <col min="6412" max="6412" width="25.7109375" style="46" customWidth="1"/>
    <col min="6413" max="6413" width="26.140625" style="46" customWidth="1"/>
    <col min="6414" max="6414" width="27.5703125" style="46" customWidth="1"/>
    <col min="6415" max="6415" width="27.140625" style="46" customWidth="1"/>
    <col min="6416" max="6416" width="32.85546875" style="46" customWidth="1"/>
    <col min="6417" max="6417" width="22.42578125" style="46" customWidth="1"/>
    <col min="6418" max="6418" width="28.140625" style="46" customWidth="1"/>
    <col min="6419" max="6419" width="52.42578125" style="46" customWidth="1"/>
    <col min="6420" max="6420" width="32.42578125" style="46" customWidth="1"/>
    <col min="6421" max="6421" width="24.5703125" style="46" customWidth="1"/>
    <col min="6422" max="6422" width="35" style="46" customWidth="1"/>
    <col min="6423" max="6423" width="35.140625" style="46" customWidth="1"/>
    <col min="6424" max="6424" width="41.140625" style="46" customWidth="1"/>
    <col min="6425" max="6425" width="16.42578125" style="46" customWidth="1"/>
    <col min="6426" max="6426" width="21.42578125" style="46" customWidth="1"/>
    <col min="6427" max="6427" width="31.42578125" style="46" customWidth="1"/>
    <col min="6428" max="6428" width="18.140625" style="46" customWidth="1"/>
    <col min="6429" max="6656" width="9.140625" style="46"/>
    <col min="6657" max="6657" width="9.28515625" style="46" customWidth="1"/>
    <col min="6658" max="6658" width="12.85546875" style="46" customWidth="1"/>
    <col min="6659" max="6659" width="167.42578125" style="46" customWidth="1"/>
    <col min="6660" max="6660" width="27.85546875" style="46" customWidth="1"/>
    <col min="6661" max="6661" width="26.140625" style="46" customWidth="1"/>
    <col min="6662" max="6662" width="26.85546875" style="46" customWidth="1"/>
    <col min="6663" max="6663" width="34.5703125" style="46" customWidth="1"/>
    <col min="6664" max="6664" width="23.28515625" style="46" customWidth="1"/>
    <col min="6665" max="6665" width="25.140625" style="46" customWidth="1"/>
    <col min="6666" max="6666" width="24.85546875" style="46" customWidth="1"/>
    <col min="6667" max="6667" width="22" style="46" customWidth="1"/>
    <col min="6668" max="6668" width="25.7109375" style="46" customWidth="1"/>
    <col min="6669" max="6669" width="26.140625" style="46" customWidth="1"/>
    <col min="6670" max="6670" width="27.5703125" style="46" customWidth="1"/>
    <col min="6671" max="6671" width="27.140625" style="46" customWidth="1"/>
    <col min="6672" max="6672" width="32.85546875" style="46" customWidth="1"/>
    <col min="6673" max="6673" width="22.42578125" style="46" customWidth="1"/>
    <col min="6674" max="6674" width="28.140625" style="46" customWidth="1"/>
    <col min="6675" max="6675" width="52.42578125" style="46" customWidth="1"/>
    <col min="6676" max="6676" width="32.42578125" style="46" customWidth="1"/>
    <col min="6677" max="6677" width="24.5703125" style="46" customWidth="1"/>
    <col min="6678" max="6678" width="35" style="46" customWidth="1"/>
    <col min="6679" max="6679" width="35.140625" style="46" customWidth="1"/>
    <col min="6680" max="6680" width="41.140625" style="46" customWidth="1"/>
    <col min="6681" max="6681" width="16.42578125" style="46" customWidth="1"/>
    <col min="6682" max="6682" width="21.42578125" style="46" customWidth="1"/>
    <col min="6683" max="6683" width="31.42578125" style="46" customWidth="1"/>
    <col min="6684" max="6684" width="18.140625" style="46" customWidth="1"/>
    <col min="6685" max="6912" width="9.140625" style="46"/>
    <col min="6913" max="6913" width="9.28515625" style="46" customWidth="1"/>
    <col min="6914" max="6914" width="12.85546875" style="46" customWidth="1"/>
    <col min="6915" max="6915" width="167.42578125" style="46" customWidth="1"/>
    <col min="6916" max="6916" width="27.85546875" style="46" customWidth="1"/>
    <col min="6917" max="6917" width="26.140625" style="46" customWidth="1"/>
    <col min="6918" max="6918" width="26.85546875" style="46" customWidth="1"/>
    <col min="6919" max="6919" width="34.5703125" style="46" customWidth="1"/>
    <col min="6920" max="6920" width="23.28515625" style="46" customWidth="1"/>
    <col min="6921" max="6921" width="25.140625" style="46" customWidth="1"/>
    <col min="6922" max="6922" width="24.85546875" style="46" customWidth="1"/>
    <col min="6923" max="6923" width="22" style="46" customWidth="1"/>
    <col min="6924" max="6924" width="25.7109375" style="46" customWidth="1"/>
    <col min="6925" max="6925" width="26.140625" style="46" customWidth="1"/>
    <col min="6926" max="6926" width="27.5703125" style="46" customWidth="1"/>
    <col min="6927" max="6927" width="27.140625" style="46" customWidth="1"/>
    <col min="6928" max="6928" width="32.85546875" style="46" customWidth="1"/>
    <col min="6929" max="6929" width="22.42578125" style="46" customWidth="1"/>
    <col min="6930" max="6930" width="28.140625" style="46" customWidth="1"/>
    <col min="6931" max="6931" width="52.42578125" style="46" customWidth="1"/>
    <col min="6932" max="6932" width="32.42578125" style="46" customWidth="1"/>
    <col min="6933" max="6933" width="24.5703125" style="46" customWidth="1"/>
    <col min="6934" max="6934" width="35" style="46" customWidth="1"/>
    <col min="6935" max="6935" width="35.140625" style="46" customWidth="1"/>
    <col min="6936" max="6936" width="41.140625" style="46" customWidth="1"/>
    <col min="6937" max="6937" width="16.42578125" style="46" customWidth="1"/>
    <col min="6938" max="6938" width="21.42578125" style="46" customWidth="1"/>
    <col min="6939" max="6939" width="31.42578125" style="46" customWidth="1"/>
    <col min="6940" max="6940" width="18.140625" style="46" customWidth="1"/>
    <col min="6941" max="7168" width="9.140625" style="46"/>
    <col min="7169" max="7169" width="9.28515625" style="46" customWidth="1"/>
    <col min="7170" max="7170" width="12.85546875" style="46" customWidth="1"/>
    <col min="7171" max="7171" width="167.42578125" style="46" customWidth="1"/>
    <col min="7172" max="7172" width="27.85546875" style="46" customWidth="1"/>
    <col min="7173" max="7173" width="26.140625" style="46" customWidth="1"/>
    <col min="7174" max="7174" width="26.85546875" style="46" customWidth="1"/>
    <col min="7175" max="7175" width="34.5703125" style="46" customWidth="1"/>
    <col min="7176" max="7176" width="23.28515625" style="46" customWidth="1"/>
    <col min="7177" max="7177" width="25.140625" style="46" customWidth="1"/>
    <col min="7178" max="7178" width="24.85546875" style="46" customWidth="1"/>
    <col min="7179" max="7179" width="22" style="46" customWidth="1"/>
    <col min="7180" max="7180" width="25.7109375" style="46" customWidth="1"/>
    <col min="7181" max="7181" width="26.140625" style="46" customWidth="1"/>
    <col min="7182" max="7182" width="27.5703125" style="46" customWidth="1"/>
    <col min="7183" max="7183" width="27.140625" style="46" customWidth="1"/>
    <col min="7184" max="7184" width="32.85546875" style="46" customWidth="1"/>
    <col min="7185" max="7185" width="22.42578125" style="46" customWidth="1"/>
    <col min="7186" max="7186" width="28.140625" style="46" customWidth="1"/>
    <col min="7187" max="7187" width="52.42578125" style="46" customWidth="1"/>
    <col min="7188" max="7188" width="32.42578125" style="46" customWidth="1"/>
    <col min="7189" max="7189" width="24.5703125" style="46" customWidth="1"/>
    <col min="7190" max="7190" width="35" style="46" customWidth="1"/>
    <col min="7191" max="7191" width="35.140625" style="46" customWidth="1"/>
    <col min="7192" max="7192" width="41.140625" style="46" customWidth="1"/>
    <col min="7193" max="7193" width="16.42578125" style="46" customWidth="1"/>
    <col min="7194" max="7194" width="21.42578125" style="46" customWidth="1"/>
    <col min="7195" max="7195" width="31.42578125" style="46" customWidth="1"/>
    <col min="7196" max="7196" width="18.140625" style="46" customWidth="1"/>
    <col min="7197" max="7424" width="9.140625" style="46"/>
    <col min="7425" max="7425" width="9.28515625" style="46" customWidth="1"/>
    <col min="7426" max="7426" width="12.85546875" style="46" customWidth="1"/>
    <col min="7427" max="7427" width="167.42578125" style="46" customWidth="1"/>
    <col min="7428" max="7428" width="27.85546875" style="46" customWidth="1"/>
    <col min="7429" max="7429" width="26.140625" style="46" customWidth="1"/>
    <col min="7430" max="7430" width="26.85546875" style="46" customWidth="1"/>
    <col min="7431" max="7431" width="34.5703125" style="46" customWidth="1"/>
    <col min="7432" max="7432" width="23.28515625" style="46" customWidth="1"/>
    <col min="7433" max="7433" width="25.140625" style="46" customWidth="1"/>
    <col min="7434" max="7434" width="24.85546875" style="46" customWidth="1"/>
    <col min="7435" max="7435" width="22" style="46" customWidth="1"/>
    <col min="7436" max="7436" width="25.7109375" style="46" customWidth="1"/>
    <col min="7437" max="7437" width="26.140625" style="46" customWidth="1"/>
    <col min="7438" max="7438" width="27.5703125" style="46" customWidth="1"/>
    <col min="7439" max="7439" width="27.140625" style="46" customWidth="1"/>
    <col min="7440" max="7440" width="32.85546875" style="46" customWidth="1"/>
    <col min="7441" max="7441" width="22.42578125" style="46" customWidth="1"/>
    <col min="7442" max="7442" width="28.140625" style="46" customWidth="1"/>
    <col min="7443" max="7443" width="52.42578125" style="46" customWidth="1"/>
    <col min="7444" max="7444" width="32.42578125" style="46" customWidth="1"/>
    <col min="7445" max="7445" width="24.5703125" style="46" customWidth="1"/>
    <col min="7446" max="7446" width="35" style="46" customWidth="1"/>
    <col min="7447" max="7447" width="35.140625" style="46" customWidth="1"/>
    <col min="7448" max="7448" width="41.140625" style="46" customWidth="1"/>
    <col min="7449" max="7449" width="16.42578125" style="46" customWidth="1"/>
    <col min="7450" max="7450" width="21.42578125" style="46" customWidth="1"/>
    <col min="7451" max="7451" width="31.42578125" style="46" customWidth="1"/>
    <col min="7452" max="7452" width="18.140625" style="46" customWidth="1"/>
    <col min="7453" max="7680" width="9.140625" style="46"/>
    <col min="7681" max="7681" width="9.28515625" style="46" customWidth="1"/>
    <col min="7682" max="7682" width="12.85546875" style="46" customWidth="1"/>
    <col min="7683" max="7683" width="167.42578125" style="46" customWidth="1"/>
    <col min="7684" max="7684" width="27.85546875" style="46" customWidth="1"/>
    <col min="7685" max="7685" width="26.140625" style="46" customWidth="1"/>
    <col min="7686" max="7686" width="26.85546875" style="46" customWidth="1"/>
    <col min="7687" max="7687" width="34.5703125" style="46" customWidth="1"/>
    <col min="7688" max="7688" width="23.28515625" style="46" customWidth="1"/>
    <col min="7689" max="7689" width="25.140625" style="46" customWidth="1"/>
    <col min="7690" max="7690" width="24.85546875" style="46" customWidth="1"/>
    <col min="7691" max="7691" width="22" style="46" customWidth="1"/>
    <col min="7692" max="7692" width="25.7109375" style="46" customWidth="1"/>
    <col min="7693" max="7693" width="26.140625" style="46" customWidth="1"/>
    <col min="7694" max="7694" width="27.5703125" style="46" customWidth="1"/>
    <col min="7695" max="7695" width="27.140625" style="46" customWidth="1"/>
    <col min="7696" max="7696" width="32.85546875" style="46" customWidth="1"/>
    <col min="7697" max="7697" width="22.42578125" style="46" customWidth="1"/>
    <col min="7698" max="7698" width="28.140625" style="46" customWidth="1"/>
    <col min="7699" max="7699" width="52.42578125" style="46" customWidth="1"/>
    <col min="7700" max="7700" width="32.42578125" style="46" customWidth="1"/>
    <col min="7701" max="7701" width="24.5703125" style="46" customWidth="1"/>
    <col min="7702" max="7702" width="35" style="46" customWidth="1"/>
    <col min="7703" max="7703" width="35.140625" style="46" customWidth="1"/>
    <col min="7704" max="7704" width="41.140625" style="46" customWidth="1"/>
    <col min="7705" max="7705" width="16.42578125" style="46" customWidth="1"/>
    <col min="7706" max="7706" width="21.42578125" style="46" customWidth="1"/>
    <col min="7707" max="7707" width="31.42578125" style="46" customWidth="1"/>
    <col min="7708" max="7708" width="18.140625" style="46" customWidth="1"/>
    <col min="7709" max="7936" width="9.140625" style="46"/>
    <col min="7937" max="7937" width="9.28515625" style="46" customWidth="1"/>
    <col min="7938" max="7938" width="12.85546875" style="46" customWidth="1"/>
    <col min="7939" max="7939" width="167.42578125" style="46" customWidth="1"/>
    <col min="7940" max="7940" width="27.85546875" style="46" customWidth="1"/>
    <col min="7941" max="7941" width="26.140625" style="46" customWidth="1"/>
    <col min="7942" max="7942" width="26.85546875" style="46" customWidth="1"/>
    <col min="7943" max="7943" width="34.5703125" style="46" customWidth="1"/>
    <col min="7944" max="7944" width="23.28515625" style="46" customWidth="1"/>
    <col min="7945" max="7945" width="25.140625" style="46" customWidth="1"/>
    <col min="7946" max="7946" width="24.85546875" style="46" customWidth="1"/>
    <col min="7947" max="7947" width="22" style="46" customWidth="1"/>
    <col min="7948" max="7948" width="25.7109375" style="46" customWidth="1"/>
    <col min="7949" max="7949" width="26.140625" style="46" customWidth="1"/>
    <col min="7950" max="7950" width="27.5703125" style="46" customWidth="1"/>
    <col min="7951" max="7951" width="27.140625" style="46" customWidth="1"/>
    <col min="7952" max="7952" width="32.85546875" style="46" customWidth="1"/>
    <col min="7953" max="7953" width="22.42578125" style="46" customWidth="1"/>
    <col min="7954" max="7954" width="28.140625" style="46" customWidth="1"/>
    <col min="7955" max="7955" width="52.42578125" style="46" customWidth="1"/>
    <col min="7956" max="7956" width="32.42578125" style="46" customWidth="1"/>
    <col min="7957" max="7957" width="24.5703125" style="46" customWidth="1"/>
    <col min="7958" max="7958" width="35" style="46" customWidth="1"/>
    <col min="7959" max="7959" width="35.140625" style="46" customWidth="1"/>
    <col min="7960" max="7960" width="41.140625" style="46" customWidth="1"/>
    <col min="7961" max="7961" width="16.42578125" style="46" customWidth="1"/>
    <col min="7962" max="7962" width="21.42578125" style="46" customWidth="1"/>
    <col min="7963" max="7963" width="31.42578125" style="46" customWidth="1"/>
    <col min="7964" max="7964" width="18.140625" style="46" customWidth="1"/>
    <col min="7965" max="8192" width="9.140625" style="46"/>
    <col min="8193" max="8193" width="9.28515625" style="46" customWidth="1"/>
    <col min="8194" max="8194" width="12.85546875" style="46" customWidth="1"/>
    <col min="8195" max="8195" width="167.42578125" style="46" customWidth="1"/>
    <col min="8196" max="8196" width="27.85546875" style="46" customWidth="1"/>
    <col min="8197" max="8197" width="26.140625" style="46" customWidth="1"/>
    <col min="8198" max="8198" width="26.85546875" style="46" customWidth="1"/>
    <col min="8199" max="8199" width="34.5703125" style="46" customWidth="1"/>
    <col min="8200" max="8200" width="23.28515625" style="46" customWidth="1"/>
    <col min="8201" max="8201" width="25.140625" style="46" customWidth="1"/>
    <col min="8202" max="8202" width="24.85546875" style="46" customWidth="1"/>
    <col min="8203" max="8203" width="22" style="46" customWidth="1"/>
    <col min="8204" max="8204" width="25.7109375" style="46" customWidth="1"/>
    <col min="8205" max="8205" width="26.140625" style="46" customWidth="1"/>
    <col min="8206" max="8206" width="27.5703125" style="46" customWidth="1"/>
    <col min="8207" max="8207" width="27.140625" style="46" customWidth="1"/>
    <col min="8208" max="8208" width="32.85546875" style="46" customWidth="1"/>
    <col min="8209" max="8209" width="22.42578125" style="46" customWidth="1"/>
    <col min="8210" max="8210" width="28.140625" style="46" customWidth="1"/>
    <col min="8211" max="8211" width="52.42578125" style="46" customWidth="1"/>
    <col min="8212" max="8212" width="32.42578125" style="46" customWidth="1"/>
    <col min="8213" max="8213" width="24.5703125" style="46" customWidth="1"/>
    <col min="8214" max="8214" width="35" style="46" customWidth="1"/>
    <col min="8215" max="8215" width="35.140625" style="46" customWidth="1"/>
    <col min="8216" max="8216" width="41.140625" style="46" customWidth="1"/>
    <col min="8217" max="8217" width="16.42578125" style="46" customWidth="1"/>
    <col min="8218" max="8218" width="21.42578125" style="46" customWidth="1"/>
    <col min="8219" max="8219" width="31.42578125" style="46" customWidth="1"/>
    <col min="8220" max="8220" width="18.140625" style="46" customWidth="1"/>
    <col min="8221" max="8448" width="9.140625" style="46"/>
    <col min="8449" max="8449" width="9.28515625" style="46" customWidth="1"/>
    <col min="8450" max="8450" width="12.85546875" style="46" customWidth="1"/>
    <col min="8451" max="8451" width="167.42578125" style="46" customWidth="1"/>
    <col min="8452" max="8452" width="27.85546875" style="46" customWidth="1"/>
    <col min="8453" max="8453" width="26.140625" style="46" customWidth="1"/>
    <col min="8454" max="8454" width="26.85546875" style="46" customWidth="1"/>
    <col min="8455" max="8455" width="34.5703125" style="46" customWidth="1"/>
    <col min="8456" max="8456" width="23.28515625" style="46" customWidth="1"/>
    <col min="8457" max="8457" width="25.140625" style="46" customWidth="1"/>
    <col min="8458" max="8458" width="24.85546875" style="46" customWidth="1"/>
    <col min="8459" max="8459" width="22" style="46" customWidth="1"/>
    <col min="8460" max="8460" width="25.7109375" style="46" customWidth="1"/>
    <col min="8461" max="8461" width="26.140625" style="46" customWidth="1"/>
    <col min="8462" max="8462" width="27.5703125" style="46" customWidth="1"/>
    <col min="8463" max="8463" width="27.140625" style="46" customWidth="1"/>
    <col min="8464" max="8464" width="32.85546875" style="46" customWidth="1"/>
    <col min="8465" max="8465" width="22.42578125" style="46" customWidth="1"/>
    <col min="8466" max="8466" width="28.140625" style="46" customWidth="1"/>
    <col min="8467" max="8467" width="52.42578125" style="46" customWidth="1"/>
    <col min="8468" max="8468" width="32.42578125" style="46" customWidth="1"/>
    <col min="8469" max="8469" width="24.5703125" style="46" customWidth="1"/>
    <col min="8470" max="8470" width="35" style="46" customWidth="1"/>
    <col min="8471" max="8471" width="35.140625" style="46" customWidth="1"/>
    <col min="8472" max="8472" width="41.140625" style="46" customWidth="1"/>
    <col min="8473" max="8473" width="16.42578125" style="46" customWidth="1"/>
    <col min="8474" max="8474" width="21.42578125" style="46" customWidth="1"/>
    <col min="8475" max="8475" width="31.42578125" style="46" customWidth="1"/>
    <col min="8476" max="8476" width="18.140625" style="46" customWidth="1"/>
    <col min="8477" max="8704" width="9.140625" style="46"/>
    <col min="8705" max="8705" width="9.28515625" style="46" customWidth="1"/>
    <col min="8706" max="8706" width="12.85546875" style="46" customWidth="1"/>
    <col min="8707" max="8707" width="167.42578125" style="46" customWidth="1"/>
    <col min="8708" max="8708" width="27.85546875" style="46" customWidth="1"/>
    <col min="8709" max="8709" width="26.140625" style="46" customWidth="1"/>
    <col min="8710" max="8710" width="26.85546875" style="46" customWidth="1"/>
    <col min="8711" max="8711" width="34.5703125" style="46" customWidth="1"/>
    <col min="8712" max="8712" width="23.28515625" style="46" customWidth="1"/>
    <col min="8713" max="8713" width="25.140625" style="46" customWidth="1"/>
    <col min="8714" max="8714" width="24.85546875" style="46" customWidth="1"/>
    <col min="8715" max="8715" width="22" style="46" customWidth="1"/>
    <col min="8716" max="8716" width="25.7109375" style="46" customWidth="1"/>
    <col min="8717" max="8717" width="26.140625" style="46" customWidth="1"/>
    <col min="8718" max="8718" width="27.5703125" style="46" customWidth="1"/>
    <col min="8719" max="8719" width="27.140625" style="46" customWidth="1"/>
    <col min="8720" max="8720" width="32.85546875" style="46" customWidth="1"/>
    <col min="8721" max="8721" width="22.42578125" style="46" customWidth="1"/>
    <col min="8722" max="8722" width="28.140625" style="46" customWidth="1"/>
    <col min="8723" max="8723" width="52.42578125" style="46" customWidth="1"/>
    <col min="8724" max="8724" width="32.42578125" style="46" customWidth="1"/>
    <col min="8725" max="8725" width="24.5703125" style="46" customWidth="1"/>
    <col min="8726" max="8726" width="35" style="46" customWidth="1"/>
    <col min="8727" max="8727" width="35.140625" style="46" customWidth="1"/>
    <col min="8728" max="8728" width="41.140625" style="46" customWidth="1"/>
    <col min="8729" max="8729" width="16.42578125" style="46" customWidth="1"/>
    <col min="8730" max="8730" width="21.42578125" style="46" customWidth="1"/>
    <col min="8731" max="8731" width="31.42578125" style="46" customWidth="1"/>
    <col min="8732" max="8732" width="18.140625" style="46" customWidth="1"/>
    <col min="8733" max="8960" width="9.140625" style="46"/>
    <col min="8961" max="8961" width="9.28515625" style="46" customWidth="1"/>
    <col min="8962" max="8962" width="12.85546875" style="46" customWidth="1"/>
    <col min="8963" max="8963" width="167.42578125" style="46" customWidth="1"/>
    <col min="8964" max="8964" width="27.85546875" style="46" customWidth="1"/>
    <col min="8965" max="8965" width="26.140625" style="46" customWidth="1"/>
    <col min="8966" max="8966" width="26.85546875" style="46" customWidth="1"/>
    <col min="8967" max="8967" width="34.5703125" style="46" customWidth="1"/>
    <col min="8968" max="8968" width="23.28515625" style="46" customWidth="1"/>
    <col min="8969" max="8969" width="25.140625" style="46" customWidth="1"/>
    <col min="8970" max="8970" width="24.85546875" style="46" customWidth="1"/>
    <col min="8971" max="8971" width="22" style="46" customWidth="1"/>
    <col min="8972" max="8972" width="25.7109375" style="46" customWidth="1"/>
    <col min="8973" max="8973" width="26.140625" style="46" customWidth="1"/>
    <col min="8974" max="8974" width="27.5703125" style="46" customWidth="1"/>
    <col min="8975" max="8975" width="27.140625" style="46" customWidth="1"/>
    <col min="8976" max="8976" width="32.85546875" style="46" customWidth="1"/>
    <col min="8977" max="8977" width="22.42578125" style="46" customWidth="1"/>
    <col min="8978" max="8978" width="28.140625" style="46" customWidth="1"/>
    <col min="8979" max="8979" width="52.42578125" style="46" customWidth="1"/>
    <col min="8980" max="8980" width="32.42578125" style="46" customWidth="1"/>
    <col min="8981" max="8981" width="24.5703125" style="46" customWidth="1"/>
    <col min="8982" max="8982" width="35" style="46" customWidth="1"/>
    <col min="8983" max="8983" width="35.140625" style="46" customWidth="1"/>
    <col min="8984" max="8984" width="41.140625" style="46" customWidth="1"/>
    <col min="8985" max="8985" width="16.42578125" style="46" customWidth="1"/>
    <col min="8986" max="8986" width="21.42578125" style="46" customWidth="1"/>
    <col min="8987" max="8987" width="31.42578125" style="46" customWidth="1"/>
    <col min="8988" max="8988" width="18.140625" style="46" customWidth="1"/>
    <col min="8989" max="9216" width="9.140625" style="46"/>
    <col min="9217" max="9217" width="9.28515625" style="46" customWidth="1"/>
    <col min="9218" max="9218" width="12.85546875" style="46" customWidth="1"/>
    <col min="9219" max="9219" width="167.42578125" style="46" customWidth="1"/>
    <col min="9220" max="9220" width="27.85546875" style="46" customWidth="1"/>
    <col min="9221" max="9221" width="26.140625" style="46" customWidth="1"/>
    <col min="9222" max="9222" width="26.85546875" style="46" customWidth="1"/>
    <col min="9223" max="9223" width="34.5703125" style="46" customWidth="1"/>
    <col min="9224" max="9224" width="23.28515625" style="46" customWidth="1"/>
    <col min="9225" max="9225" width="25.140625" style="46" customWidth="1"/>
    <col min="9226" max="9226" width="24.85546875" style="46" customWidth="1"/>
    <col min="9227" max="9227" width="22" style="46" customWidth="1"/>
    <col min="9228" max="9228" width="25.7109375" style="46" customWidth="1"/>
    <col min="9229" max="9229" width="26.140625" style="46" customWidth="1"/>
    <col min="9230" max="9230" width="27.5703125" style="46" customWidth="1"/>
    <col min="9231" max="9231" width="27.140625" style="46" customWidth="1"/>
    <col min="9232" max="9232" width="32.85546875" style="46" customWidth="1"/>
    <col min="9233" max="9233" width="22.42578125" style="46" customWidth="1"/>
    <col min="9234" max="9234" width="28.140625" style="46" customWidth="1"/>
    <col min="9235" max="9235" width="52.42578125" style="46" customWidth="1"/>
    <col min="9236" max="9236" width="32.42578125" style="46" customWidth="1"/>
    <col min="9237" max="9237" width="24.5703125" style="46" customWidth="1"/>
    <col min="9238" max="9238" width="35" style="46" customWidth="1"/>
    <col min="9239" max="9239" width="35.140625" style="46" customWidth="1"/>
    <col min="9240" max="9240" width="41.140625" style="46" customWidth="1"/>
    <col min="9241" max="9241" width="16.42578125" style="46" customWidth="1"/>
    <col min="9242" max="9242" width="21.42578125" style="46" customWidth="1"/>
    <col min="9243" max="9243" width="31.42578125" style="46" customWidth="1"/>
    <col min="9244" max="9244" width="18.140625" style="46" customWidth="1"/>
    <col min="9245" max="9472" width="9.140625" style="46"/>
    <col min="9473" max="9473" width="9.28515625" style="46" customWidth="1"/>
    <col min="9474" max="9474" width="12.85546875" style="46" customWidth="1"/>
    <col min="9475" max="9475" width="167.42578125" style="46" customWidth="1"/>
    <col min="9476" max="9476" width="27.85546875" style="46" customWidth="1"/>
    <col min="9477" max="9477" width="26.140625" style="46" customWidth="1"/>
    <col min="9478" max="9478" width="26.85546875" style="46" customWidth="1"/>
    <col min="9479" max="9479" width="34.5703125" style="46" customWidth="1"/>
    <col min="9480" max="9480" width="23.28515625" style="46" customWidth="1"/>
    <col min="9481" max="9481" width="25.140625" style="46" customWidth="1"/>
    <col min="9482" max="9482" width="24.85546875" style="46" customWidth="1"/>
    <col min="9483" max="9483" width="22" style="46" customWidth="1"/>
    <col min="9484" max="9484" width="25.7109375" style="46" customWidth="1"/>
    <col min="9485" max="9485" width="26.140625" style="46" customWidth="1"/>
    <col min="9486" max="9486" width="27.5703125" style="46" customWidth="1"/>
    <col min="9487" max="9487" width="27.140625" style="46" customWidth="1"/>
    <col min="9488" max="9488" width="32.85546875" style="46" customWidth="1"/>
    <col min="9489" max="9489" width="22.42578125" style="46" customWidth="1"/>
    <col min="9490" max="9490" width="28.140625" style="46" customWidth="1"/>
    <col min="9491" max="9491" width="52.42578125" style="46" customWidth="1"/>
    <col min="9492" max="9492" width="32.42578125" style="46" customWidth="1"/>
    <col min="9493" max="9493" width="24.5703125" style="46" customWidth="1"/>
    <col min="9494" max="9494" width="35" style="46" customWidth="1"/>
    <col min="9495" max="9495" width="35.140625" style="46" customWidth="1"/>
    <col min="9496" max="9496" width="41.140625" style="46" customWidth="1"/>
    <col min="9497" max="9497" width="16.42578125" style="46" customWidth="1"/>
    <col min="9498" max="9498" width="21.42578125" style="46" customWidth="1"/>
    <col min="9499" max="9499" width="31.42578125" style="46" customWidth="1"/>
    <col min="9500" max="9500" width="18.140625" style="46" customWidth="1"/>
    <col min="9501" max="9728" width="9.140625" style="46"/>
    <col min="9729" max="9729" width="9.28515625" style="46" customWidth="1"/>
    <col min="9730" max="9730" width="12.85546875" style="46" customWidth="1"/>
    <col min="9731" max="9731" width="167.42578125" style="46" customWidth="1"/>
    <col min="9732" max="9732" width="27.85546875" style="46" customWidth="1"/>
    <col min="9733" max="9733" width="26.140625" style="46" customWidth="1"/>
    <col min="9734" max="9734" width="26.85546875" style="46" customWidth="1"/>
    <col min="9735" max="9735" width="34.5703125" style="46" customWidth="1"/>
    <col min="9736" max="9736" width="23.28515625" style="46" customWidth="1"/>
    <col min="9737" max="9737" width="25.140625" style="46" customWidth="1"/>
    <col min="9738" max="9738" width="24.85546875" style="46" customWidth="1"/>
    <col min="9739" max="9739" width="22" style="46" customWidth="1"/>
    <col min="9740" max="9740" width="25.7109375" style="46" customWidth="1"/>
    <col min="9741" max="9741" width="26.140625" style="46" customWidth="1"/>
    <col min="9742" max="9742" width="27.5703125" style="46" customWidth="1"/>
    <col min="9743" max="9743" width="27.140625" style="46" customWidth="1"/>
    <col min="9744" max="9744" width="32.85546875" style="46" customWidth="1"/>
    <col min="9745" max="9745" width="22.42578125" style="46" customWidth="1"/>
    <col min="9746" max="9746" width="28.140625" style="46" customWidth="1"/>
    <col min="9747" max="9747" width="52.42578125" style="46" customWidth="1"/>
    <col min="9748" max="9748" width="32.42578125" style="46" customWidth="1"/>
    <col min="9749" max="9749" width="24.5703125" style="46" customWidth="1"/>
    <col min="9750" max="9750" width="35" style="46" customWidth="1"/>
    <col min="9751" max="9751" width="35.140625" style="46" customWidth="1"/>
    <col min="9752" max="9752" width="41.140625" style="46" customWidth="1"/>
    <col min="9753" max="9753" width="16.42578125" style="46" customWidth="1"/>
    <col min="9754" max="9754" width="21.42578125" style="46" customWidth="1"/>
    <col min="9755" max="9755" width="31.42578125" style="46" customWidth="1"/>
    <col min="9756" max="9756" width="18.140625" style="46" customWidth="1"/>
    <col min="9757" max="9984" width="9.140625" style="46"/>
    <col min="9985" max="9985" width="9.28515625" style="46" customWidth="1"/>
    <col min="9986" max="9986" width="12.85546875" style="46" customWidth="1"/>
    <col min="9987" max="9987" width="167.42578125" style="46" customWidth="1"/>
    <col min="9988" max="9988" width="27.85546875" style="46" customWidth="1"/>
    <col min="9989" max="9989" width="26.140625" style="46" customWidth="1"/>
    <col min="9990" max="9990" width="26.85546875" style="46" customWidth="1"/>
    <col min="9991" max="9991" width="34.5703125" style="46" customWidth="1"/>
    <col min="9992" max="9992" width="23.28515625" style="46" customWidth="1"/>
    <col min="9993" max="9993" width="25.140625" style="46" customWidth="1"/>
    <col min="9994" max="9994" width="24.85546875" style="46" customWidth="1"/>
    <col min="9995" max="9995" width="22" style="46" customWidth="1"/>
    <col min="9996" max="9996" width="25.7109375" style="46" customWidth="1"/>
    <col min="9997" max="9997" width="26.140625" style="46" customWidth="1"/>
    <col min="9998" max="9998" width="27.5703125" style="46" customWidth="1"/>
    <col min="9999" max="9999" width="27.140625" style="46" customWidth="1"/>
    <col min="10000" max="10000" width="32.85546875" style="46" customWidth="1"/>
    <col min="10001" max="10001" width="22.42578125" style="46" customWidth="1"/>
    <col min="10002" max="10002" width="28.140625" style="46" customWidth="1"/>
    <col min="10003" max="10003" width="52.42578125" style="46" customWidth="1"/>
    <col min="10004" max="10004" width="32.42578125" style="46" customWidth="1"/>
    <col min="10005" max="10005" width="24.5703125" style="46" customWidth="1"/>
    <col min="10006" max="10006" width="35" style="46" customWidth="1"/>
    <col min="10007" max="10007" width="35.140625" style="46" customWidth="1"/>
    <col min="10008" max="10008" width="41.140625" style="46" customWidth="1"/>
    <col min="10009" max="10009" width="16.42578125" style="46" customWidth="1"/>
    <col min="10010" max="10010" width="21.42578125" style="46" customWidth="1"/>
    <col min="10011" max="10011" width="31.42578125" style="46" customWidth="1"/>
    <col min="10012" max="10012" width="18.140625" style="46" customWidth="1"/>
    <col min="10013" max="10240" width="9.140625" style="46"/>
    <col min="10241" max="10241" width="9.28515625" style="46" customWidth="1"/>
    <col min="10242" max="10242" width="12.85546875" style="46" customWidth="1"/>
    <col min="10243" max="10243" width="167.42578125" style="46" customWidth="1"/>
    <col min="10244" max="10244" width="27.85546875" style="46" customWidth="1"/>
    <col min="10245" max="10245" width="26.140625" style="46" customWidth="1"/>
    <col min="10246" max="10246" width="26.85546875" style="46" customWidth="1"/>
    <col min="10247" max="10247" width="34.5703125" style="46" customWidth="1"/>
    <col min="10248" max="10248" width="23.28515625" style="46" customWidth="1"/>
    <col min="10249" max="10249" width="25.140625" style="46" customWidth="1"/>
    <col min="10250" max="10250" width="24.85546875" style="46" customWidth="1"/>
    <col min="10251" max="10251" width="22" style="46" customWidth="1"/>
    <col min="10252" max="10252" width="25.7109375" style="46" customWidth="1"/>
    <col min="10253" max="10253" width="26.140625" style="46" customWidth="1"/>
    <col min="10254" max="10254" width="27.5703125" style="46" customWidth="1"/>
    <col min="10255" max="10255" width="27.140625" style="46" customWidth="1"/>
    <col min="10256" max="10256" width="32.85546875" style="46" customWidth="1"/>
    <col min="10257" max="10257" width="22.42578125" style="46" customWidth="1"/>
    <col min="10258" max="10258" width="28.140625" style="46" customWidth="1"/>
    <col min="10259" max="10259" width="52.42578125" style="46" customWidth="1"/>
    <col min="10260" max="10260" width="32.42578125" style="46" customWidth="1"/>
    <col min="10261" max="10261" width="24.5703125" style="46" customWidth="1"/>
    <col min="10262" max="10262" width="35" style="46" customWidth="1"/>
    <col min="10263" max="10263" width="35.140625" style="46" customWidth="1"/>
    <col min="10264" max="10264" width="41.140625" style="46" customWidth="1"/>
    <col min="10265" max="10265" width="16.42578125" style="46" customWidth="1"/>
    <col min="10266" max="10266" width="21.42578125" style="46" customWidth="1"/>
    <col min="10267" max="10267" width="31.42578125" style="46" customWidth="1"/>
    <col min="10268" max="10268" width="18.140625" style="46" customWidth="1"/>
    <col min="10269" max="10496" width="9.140625" style="46"/>
    <col min="10497" max="10497" width="9.28515625" style="46" customWidth="1"/>
    <col min="10498" max="10498" width="12.85546875" style="46" customWidth="1"/>
    <col min="10499" max="10499" width="167.42578125" style="46" customWidth="1"/>
    <col min="10500" max="10500" width="27.85546875" style="46" customWidth="1"/>
    <col min="10501" max="10501" width="26.140625" style="46" customWidth="1"/>
    <col min="10502" max="10502" width="26.85546875" style="46" customWidth="1"/>
    <col min="10503" max="10503" width="34.5703125" style="46" customWidth="1"/>
    <col min="10504" max="10504" width="23.28515625" style="46" customWidth="1"/>
    <col min="10505" max="10505" width="25.140625" style="46" customWidth="1"/>
    <col min="10506" max="10506" width="24.85546875" style="46" customWidth="1"/>
    <col min="10507" max="10507" width="22" style="46" customWidth="1"/>
    <col min="10508" max="10508" width="25.7109375" style="46" customWidth="1"/>
    <col min="10509" max="10509" width="26.140625" style="46" customWidth="1"/>
    <col min="10510" max="10510" width="27.5703125" style="46" customWidth="1"/>
    <col min="10511" max="10511" width="27.140625" style="46" customWidth="1"/>
    <col min="10512" max="10512" width="32.85546875" style="46" customWidth="1"/>
    <col min="10513" max="10513" width="22.42578125" style="46" customWidth="1"/>
    <col min="10514" max="10514" width="28.140625" style="46" customWidth="1"/>
    <col min="10515" max="10515" width="52.42578125" style="46" customWidth="1"/>
    <col min="10516" max="10516" width="32.42578125" style="46" customWidth="1"/>
    <col min="10517" max="10517" width="24.5703125" style="46" customWidth="1"/>
    <col min="10518" max="10518" width="35" style="46" customWidth="1"/>
    <col min="10519" max="10519" width="35.140625" style="46" customWidth="1"/>
    <col min="10520" max="10520" width="41.140625" style="46" customWidth="1"/>
    <col min="10521" max="10521" width="16.42578125" style="46" customWidth="1"/>
    <col min="10522" max="10522" width="21.42578125" style="46" customWidth="1"/>
    <col min="10523" max="10523" width="31.42578125" style="46" customWidth="1"/>
    <col min="10524" max="10524" width="18.140625" style="46" customWidth="1"/>
    <col min="10525" max="10752" width="9.140625" style="46"/>
    <col min="10753" max="10753" width="9.28515625" style="46" customWidth="1"/>
    <col min="10754" max="10754" width="12.85546875" style="46" customWidth="1"/>
    <col min="10755" max="10755" width="167.42578125" style="46" customWidth="1"/>
    <col min="10756" max="10756" width="27.85546875" style="46" customWidth="1"/>
    <col min="10757" max="10757" width="26.140625" style="46" customWidth="1"/>
    <col min="10758" max="10758" width="26.85546875" style="46" customWidth="1"/>
    <col min="10759" max="10759" width="34.5703125" style="46" customWidth="1"/>
    <col min="10760" max="10760" width="23.28515625" style="46" customWidth="1"/>
    <col min="10761" max="10761" width="25.140625" style="46" customWidth="1"/>
    <col min="10762" max="10762" width="24.85546875" style="46" customWidth="1"/>
    <col min="10763" max="10763" width="22" style="46" customWidth="1"/>
    <col min="10764" max="10764" width="25.7109375" style="46" customWidth="1"/>
    <col min="10765" max="10765" width="26.140625" style="46" customWidth="1"/>
    <col min="10766" max="10766" width="27.5703125" style="46" customWidth="1"/>
    <col min="10767" max="10767" width="27.140625" style="46" customWidth="1"/>
    <col min="10768" max="10768" width="32.85546875" style="46" customWidth="1"/>
    <col min="10769" max="10769" width="22.42578125" style="46" customWidth="1"/>
    <col min="10770" max="10770" width="28.140625" style="46" customWidth="1"/>
    <col min="10771" max="10771" width="52.42578125" style="46" customWidth="1"/>
    <col min="10772" max="10772" width="32.42578125" style="46" customWidth="1"/>
    <col min="10773" max="10773" width="24.5703125" style="46" customWidth="1"/>
    <col min="10774" max="10774" width="35" style="46" customWidth="1"/>
    <col min="10775" max="10775" width="35.140625" style="46" customWidth="1"/>
    <col min="10776" max="10776" width="41.140625" style="46" customWidth="1"/>
    <col min="10777" max="10777" width="16.42578125" style="46" customWidth="1"/>
    <col min="10778" max="10778" width="21.42578125" style="46" customWidth="1"/>
    <col min="10779" max="10779" width="31.42578125" style="46" customWidth="1"/>
    <col min="10780" max="10780" width="18.140625" style="46" customWidth="1"/>
    <col min="10781" max="11008" width="9.140625" style="46"/>
    <col min="11009" max="11009" width="9.28515625" style="46" customWidth="1"/>
    <col min="11010" max="11010" width="12.85546875" style="46" customWidth="1"/>
    <col min="11011" max="11011" width="167.42578125" style="46" customWidth="1"/>
    <col min="11012" max="11012" width="27.85546875" style="46" customWidth="1"/>
    <col min="11013" max="11013" width="26.140625" style="46" customWidth="1"/>
    <col min="11014" max="11014" width="26.85546875" style="46" customWidth="1"/>
    <col min="11015" max="11015" width="34.5703125" style="46" customWidth="1"/>
    <col min="11016" max="11016" width="23.28515625" style="46" customWidth="1"/>
    <col min="11017" max="11017" width="25.140625" style="46" customWidth="1"/>
    <col min="11018" max="11018" width="24.85546875" style="46" customWidth="1"/>
    <col min="11019" max="11019" width="22" style="46" customWidth="1"/>
    <col min="11020" max="11020" width="25.7109375" style="46" customWidth="1"/>
    <col min="11021" max="11021" width="26.140625" style="46" customWidth="1"/>
    <col min="11022" max="11022" width="27.5703125" style="46" customWidth="1"/>
    <col min="11023" max="11023" width="27.140625" style="46" customWidth="1"/>
    <col min="11024" max="11024" width="32.85546875" style="46" customWidth="1"/>
    <col min="11025" max="11025" width="22.42578125" style="46" customWidth="1"/>
    <col min="11026" max="11026" width="28.140625" style="46" customWidth="1"/>
    <col min="11027" max="11027" width="52.42578125" style="46" customWidth="1"/>
    <col min="11028" max="11028" width="32.42578125" style="46" customWidth="1"/>
    <col min="11029" max="11029" width="24.5703125" style="46" customWidth="1"/>
    <col min="11030" max="11030" width="35" style="46" customWidth="1"/>
    <col min="11031" max="11031" width="35.140625" style="46" customWidth="1"/>
    <col min="11032" max="11032" width="41.140625" style="46" customWidth="1"/>
    <col min="11033" max="11033" width="16.42578125" style="46" customWidth="1"/>
    <col min="11034" max="11034" width="21.42578125" style="46" customWidth="1"/>
    <col min="11035" max="11035" width="31.42578125" style="46" customWidth="1"/>
    <col min="11036" max="11036" width="18.140625" style="46" customWidth="1"/>
    <col min="11037" max="11264" width="9.140625" style="46"/>
    <col min="11265" max="11265" width="9.28515625" style="46" customWidth="1"/>
    <col min="11266" max="11266" width="12.85546875" style="46" customWidth="1"/>
    <col min="11267" max="11267" width="167.42578125" style="46" customWidth="1"/>
    <col min="11268" max="11268" width="27.85546875" style="46" customWidth="1"/>
    <col min="11269" max="11269" width="26.140625" style="46" customWidth="1"/>
    <col min="11270" max="11270" width="26.85546875" style="46" customWidth="1"/>
    <col min="11271" max="11271" width="34.5703125" style="46" customWidth="1"/>
    <col min="11272" max="11272" width="23.28515625" style="46" customWidth="1"/>
    <col min="11273" max="11273" width="25.140625" style="46" customWidth="1"/>
    <col min="11274" max="11274" width="24.85546875" style="46" customWidth="1"/>
    <col min="11275" max="11275" width="22" style="46" customWidth="1"/>
    <col min="11276" max="11276" width="25.7109375" style="46" customWidth="1"/>
    <col min="11277" max="11277" width="26.140625" style="46" customWidth="1"/>
    <col min="11278" max="11278" width="27.5703125" style="46" customWidth="1"/>
    <col min="11279" max="11279" width="27.140625" style="46" customWidth="1"/>
    <col min="11280" max="11280" width="32.85546875" style="46" customWidth="1"/>
    <col min="11281" max="11281" width="22.42578125" style="46" customWidth="1"/>
    <col min="11282" max="11282" width="28.140625" style="46" customWidth="1"/>
    <col min="11283" max="11283" width="52.42578125" style="46" customWidth="1"/>
    <col min="11284" max="11284" width="32.42578125" style="46" customWidth="1"/>
    <col min="11285" max="11285" width="24.5703125" style="46" customWidth="1"/>
    <col min="11286" max="11286" width="35" style="46" customWidth="1"/>
    <col min="11287" max="11287" width="35.140625" style="46" customWidth="1"/>
    <col min="11288" max="11288" width="41.140625" style="46" customWidth="1"/>
    <col min="11289" max="11289" width="16.42578125" style="46" customWidth="1"/>
    <col min="11290" max="11290" width="21.42578125" style="46" customWidth="1"/>
    <col min="11291" max="11291" width="31.42578125" style="46" customWidth="1"/>
    <col min="11292" max="11292" width="18.140625" style="46" customWidth="1"/>
    <col min="11293" max="11520" width="9.140625" style="46"/>
    <col min="11521" max="11521" width="9.28515625" style="46" customWidth="1"/>
    <col min="11522" max="11522" width="12.85546875" style="46" customWidth="1"/>
    <col min="11523" max="11523" width="167.42578125" style="46" customWidth="1"/>
    <col min="11524" max="11524" width="27.85546875" style="46" customWidth="1"/>
    <col min="11525" max="11525" width="26.140625" style="46" customWidth="1"/>
    <col min="11526" max="11526" width="26.85546875" style="46" customWidth="1"/>
    <col min="11527" max="11527" width="34.5703125" style="46" customWidth="1"/>
    <col min="11528" max="11528" width="23.28515625" style="46" customWidth="1"/>
    <col min="11529" max="11529" width="25.140625" style="46" customWidth="1"/>
    <col min="11530" max="11530" width="24.85546875" style="46" customWidth="1"/>
    <col min="11531" max="11531" width="22" style="46" customWidth="1"/>
    <col min="11532" max="11532" width="25.7109375" style="46" customWidth="1"/>
    <col min="11533" max="11533" width="26.140625" style="46" customWidth="1"/>
    <col min="11534" max="11534" width="27.5703125" style="46" customWidth="1"/>
    <col min="11535" max="11535" width="27.140625" style="46" customWidth="1"/>
    <col min="11536" max="11536" width="32.85546875" style="46" customWidth="1"/>
    <col min="11537" max="11537" width="22.42578125" style="46" customWidth="1"/>
    <col min="11538" max="11538" width="28.140625" style="46" customWidth="1"/>
    <col min="11539" max="11539" width="52.42578125" style="46" customWidth="1"/>
    <col min="11540" max="11540" width="32.42578125" style="46" customWidth="1"/>
    <col min="11541" max="11541" width="24.5703125" style="46" customWidth="1"/>
    <col min="11542" max="11542" width="35" style="46" customWidth="1"/>
    <col min="11543" max="11543" width="35.140625" style="46" customWidth="1"/>
    <col min="11544" max="11544" width="41.140625" style="46" customWidth="1"/>
    <col min="11545" max="11545" width="16.42578125" style="46" customWidth="1"/>
    <col min="11546" max="11546" width="21.42578125" style="46" customWidth="1"/>
    <col min="11547" max="11547" width="31.42578125" style="46" customWidth="1"/>
    <col min="11548" max="11548" width="18.140625" style="46" customWidth="1"/>
    <col min="11549" max="11776" width="9.140625" style="46"/>
    <col min="11777" max="11777" width="9.28515625" style="46" customWidth="1"/>
    <col min="11778" max="11778" width="12.85546875" style="46" customWidth="1"/>
    <col min="11779" max="11779" width="167.42578125" style="46" customWidth="1"/>
    <col min="11780" max="11780" width="27.85546875" style="46" customWidth="1"/>
    <col min="11781" max="11781" width="26.140625" style="46" customWidth="1"/>
    <col min="11782" max="11782" width="26.85546875" style="46" customWidth="1"/>
    <col min="11783" max="11783" width="34.5703125" style="46" customWidth="1"/>
    <col min="11784" max="11784" width="23.28515625" style="46" customWidth="1"/>
    <col min="11785" max="11785" width="25.140625" style="46" customWidth="1"/>
    <col min="11786" max="11786" width="24.85546875" style="46" customWidth="1"/>
    <col min="11787" max="11787" width="22" style="46" customWidth="1"/>
    <col min="11788" max="11788" width="25.7109375" style="46" customWidth="1"/>
    <col min="11789" max="11789" width="26.140625" style="46" customWidth="1"/>
    <col min="11790" max="11790" width="27.5703125" style="46" customWidth="1"/>
    <col min="11791" max="11791" width="27.140625" style="46" customWidth="1"/>
    <col min="11792" max="11792" width="32.85546875" style="46" customWidth="1"/>
    <col min="11793" max="11793" width="22.42578125" style="46" customWidth="1"/>
    <col min="11794" max="11794" width="28.140625" style="46" customWidth="1"/>
    <col min="11795" max="11795" width="52.42578125" style="46" customWidth="1"/>
    <col min="11796" max="11796" width="32.42578125" style="46" customWidth="1"/>
    <col min="11797" max="11797" width="24.5703125" style="46" customWidth="1"/>
    <col min="11798" max="11798" width="35" style="46" customWidth="1"/>
    <col min="11799" max="11799" width="35.140625" style="46" customWidth="1"/>
    <col min="11800" max="11800" width="41.140625" style="46" customWidth="1"/>
    <col min="11801" max="11801" width="16.42578125" style="46" customWidth="1"/>
    <col min="11802" max="11802" width="21.42578125" style="46" customWidth="1"/>
    <col min="11803" max="11803" width="31.42578125" style="46" customWidth="1"/>
    <col min="11804" max="11804" width="18.140625" style="46" customWidth="1"/>
    <col min="11805" max="12032" width="9.140625" style="46"/>
    <col min="12033" max="12033" width="9.28515625" style="46" customWidth="1"/>
    <col min="12034" max="12034" width="12.85546875" style="46" customWidth="1"/>
    <col min="12035" max="12035" width="167.42578125" style="46" customWidth="1"/>
    <col min="12036" max="12036" width="27.85546875" style="46" customWidth="1"/>
    <col min="12037" max="12037" width="26.140625" style="46" customWidth="1"/>
    <col min="12038" max="12038" width="26.85546875" style="46" customWidth="1"/>
    <col min="12039" max="12039" width="34.5703125" style="46" customWidth="1"/>
    <col min="12040" max="12040" width="23.28515625" style="46" customWidth="1"/>
    <col min="12041" max="12041" width="25.140625" style="46" customWidth="1"/>
    <col min="12042" max="12042" width="24.85546875" style="46" customWidth="1"/>
    <col min="12043" max="12043" width="22" style="46" customWidth="1"/>
    <col min="12044" max="12044" width="25.7109375" style="46" customWidth="1"/>
    <col min="12045" max="12045" width="26.140625" style="46" customWidth="1"/>
    <col min="12046" max="12046" width="27.5703125" style="46" customWidth="1"/>
    <col min="12047" max="12047" width="27.140625" style="46" customWidth="1"/>
    <col min="12048" max="12048" width="32.85546875" style="46" customWidth="1"/>
    <col min="12049" max="12049" width="22.42578125" style="46" customWidth="1"/>
    <col min="12050" max="12050" width="28.140625" style="46" customWidth="1"/>
    <col min="12051" max="12051" width="52.42578125" style="46" customWidth="1"/>
    <col min="12052" max="12052" width="32.42578125" style="46" customWidth="1"/>
    <col min="12053" max="12053" width="24.5703125" style="46" customWidth="1"/>
    <col min="12054" max="12054" width="35" style="46" customWidth="1"/>
    <col min="12055" max="12055" width="35.140625" style="46" customWidth="1"/>
    <col min="12056" max="12056" width="41.140625" style="46" customWidth="1"/>
    <col min="12057" max="12057" width="16.42578125" style="46" customWidth="1"/>
    <col min="12058" max="12058" width="21.42578125" style="46" customWidth="1"/>
    <col min="12059" max="12059" width="31.42578125" style="46" customWidth="1"/>
    <col min="12060" max="12060" width="18.140625" style="46" customWidth="1"/>
    <col min="12061" max="12288" width="9.140625" style="46"/>
    <col min="12289" max="12289" width="9.28515625" style="46" customWidth="1"/>
    <col min="12290" max="12290" width="12.85546875" style="46" customWidth="1"/>
    <col min="12291" max="12291" width="167.42578125" style="46" customWidth="1"/>
    <col min="12292" max="12292" width="27.85546875" style="46" customWidth="1"/>
    <col min="12293" max="12293" width="26.140625" style="46" customWidth="1"/>
    <col min="12294" max="12294" width="26.85546875" style="46" customWidth="1"/>
    <col min="12295" max="12295" width="34.5703125" style="46" customWidth="1"/>
    <col min="12296" max="12296" width="23.28515625" style="46" customWidth="1"/>
    <col min="12297" max="12297" width="25.140625" style="46" customWidth="1"/>
    <col min="12298" max="12298" width="24.85546875" style="46" customWidth="1"/>
    <col min="12299" max="12299" width="22" style="46" customWidth="1"/>
    <col min="12300" max="12300" width="25.7109375" style="46" customWidth="1"/>
    <col min="12301" max="12301" width="26.140625" style="46" customWidth="1"/>
    <col min="12302" max="12302" width="27.5703125" style="46" customWidth="1"/>
    <col min="12303" max="12303" width="27.140625" style="46" customWidth="1"/>
    <col min="12304" max="12304" width="32.85546875" style="46" customWidth="1"/>
    <col min="12305" max="12305" width="22.42578125" style="46" customWidth="1"/>
    <col min="12306" max="12306" width="28.140625" style="46" customWidth="1"/>
    <col min="12307" max="12307" width="52.42578125" style="46" customWidth="1"/>
    <col min="12308" max="12308" width="32.42578125" style="46" customWidth="1"/>
    <col min="12309" max="12309" width="24.5703125" style="46" customWidth="1"/>
    <col min="12310" max="12310" width="35" style="46" customWidth="1"/>
    <col min="12311" max="12311" width="35.140625" style="46" customWidth="1"/>
    <col min="12312" max="12312" width="41.140625" style="46" customWidth="1"/>
    <col min="12313" max="12313" width="16.42578125" style="46" customWidth="1"/>
    <col min="12314" max="12314" width="21.42578125" style="46" customWidth="1"/>
    <col min="12315" max="12315" width="31.42578125" style="46" customWidth="1"/>
    <col min="12316" max="12316" width="18.140625" style="46" customWidth="1"/>
    <col min="12317" max="12544" width="9.140625" style="46"/>
    <col min="12545" max="12545" width="9.28515625" style="46" customWidth="1"/>
    <col min="12546" max="12546" width="12.85546875" style="46" customWidth="1"/>
    <col min="12547" max="12547" width="167.42578125" style="46" customWidth="1"/>
    <col min="12548" max="12548" width="27.85546875" style="46" customWidth="1"/>
    <col min="12549" max="12549" width="26.140625" style="46" customWidth="1"/>
    <col min="12550" max="12550" width="26.85546875" style="46" customWidth="1"/>
    <col min="12551" max="12551" width="34.5703125" style="46" customWidth="1"/>
    <col min="12552" max="12552" width="23.28515625" style="46" customWidth="1"/>
    <col min="12553" max="12553" width="25.140625" style="46" customWidth="1"/>
    <col min="12554" max="12554" width="24.85546875" style="46" customWidth="1"/>
    <col min="12555" max="12555" width="22" style="46" customWidth="1"/>
    <col min="12556" max="12556" width="25.7109375" style="46" customWidth="1"/>
    <col min="12557" max="12557" width="26.140625" style="46" customWidth="1"/>
    <col min="12558" max="12558" width="27.5703125" style="46" customWidth="1"/>
    <col min="12559" max="12559" width="27.140625" style="46" customWidth="1"/>
    <col min="12560" max="12560" width="32.85546875" style="46" customWidth="1"/>
    <col min="12561" max="12561" width="22.42578125" style="46" customWidth="1"/>
    <col min="12562" max="12562" width="28.140625" style="46" customWidth="1"/>
    <col min="12563" max="12563" width="52.42578125" style="46" customWidth="1"/>
    <col min="12564" max="12564" width="32.42578125" style="46" customWidth="1"/>
    <col min="12565" max="12565" width="24.5703125" style="46" customWidth="1"/>
    <col min="12566" max="12566" width="35" style="46" customWidth="1"/>
    <col min="12567" max="12567" width="35.140625" style="46" customWidth="1"/>
    <col min="12568" max="12568" width="41.140625" style="46" customWidth="1"/>
    <col min="12569" max="12569" width="16.42578125" style="46" customWidth="1"/>
    <col min="12570" max="12570" width="21.42578125" style="46" customWidth="1"/>
    <col min="12571" max="12571" width="31.42578125" style="46" customWidth="1"/>
    <col min="12572" max="12572" width="18.140625" style="46" customWidth="1"/>
    <col min="12573" max="12800" width="9.140625" style="46"/>
    <col min="12801" max="12801" width="9.28515625" style="46" customWidth="1"/>
    <col min="12802" max="12802" width="12.85546875" style="46" customWidth="1"/>
    <col min="12803" max="12803" width="167.42578125" style="46" customWidth="1"/>
    <col min="12804" max="12804" width="27.85546875" style="46" customWidth="1"/>
    <col min="12805" max="12805" width="26.140625" style="46" customWidth="1"/>
    <col min="12806" max="12806" width="26.85546875" style="46" customWidth="1"/>
    <col min="12807" max="12807" width="34.5703125" style="46" customWidth="1"/>
    <col min="12808" max="12808" width="23.28515625" style="46" customWidth="1"/>
    <col min="12809" max="12809" width="25.140625" style="46" customWidth="1"/>
    <col min="12810" max="12810" width="24.85546875" style="46" customWidth="1"/>
    <col min="12811" max="12811" width="22" style="46" customWidth="1"/>
    <col min="12812" max="12812" width="25.7109375" style="46" customWidth="1"/>
    <col min="12813" max="12813" width="26.140625" style="46" customWidth="1"/>
    <col min="12814" max="12814" width="27.5703125" style="46" customWidth="1"/>
    <col min="12815" max="12815" width="27.140625" style="46" customWidth="1"/>
    <col min="12816" max="12816" width="32.85546875" style="46" customWidth="1"/>
    <col min="12817" max="12817" width="22.42578125" style="46" customWidth="1"/>
    <col min="12818" max="12818" width="28.140625" style="46" customWidth="1"/>
    <col min="12819" max="12819" width="52.42578125" style="46" customWidth="1"/>
    <col min="12820" max="12820" width="32.42578125" style="46" customWidth="1"/>
    <col min="12821" max="12821" width="24.5703125" style="46" customWidth="1"/>
    <col min="12822" max="12822" width="35" style="46" customWidth="1"/>
    <col min="12823" max="12823" width="35.140625" style="46" customWidth="1"/>
    <col min="12824" max="12824" width="41.140625" style="46" customWidth="1"/>
    <col min="12825" max="12825" width="16.42578125" style="46" customWidth="1"/>
    <col min="12826" max="12826" width="21.42578125" style="46" customWidth="1"/>
    <col min="12827" max="12827" width="31.42578125" style="46" customWidth="1"/>
    <col min="12828" max="12828" width="18.140625" style="46" customWidth="1"/>
    <col min="12829" max="13056" width="9.140625" style="46"/>
    <col min="13057" max="13057" width="9.28515625" style="46" customWidth="1"/>
    <col min="13058" max="13058" width="12.85546875" style="46" customWidth="1"/>
    <col min="13059" max="13059" width="167.42578125" style="46" customWidth="1"/>
    <col min="13060" max="13060" width="27.85546875" style="46" customWidth="1"/>
    <col min="13061" max="13061" width="26.140625" style="46" customWidth="1"/>
    <col min="13062" max="13062" width="26.85546875" style="46" customWidth="1"/>
    <col min="13063" max="13063" width="34.5703125" style="46" customWidth="1"/>
    <col min="13064" max="13064" width="23.28515625" style="46" customWidth="1"/>
    <col min="13065" max="13065" width="25.140625" style="46" customWidth="1"/>
    <col min="13066" max="13066" width="24.85546875" style="46" customWidth="1"/>
    <col min="13067" max="13067" width="22" style="46" customWidth="1"/>
    <col min="13068" max="13068" width="25.7109375" style="46" customWidth="1"/>
    <col min="13069" max="13069" width="26.140625" style="46" customWidth="1"/>
    <col min="13070" max="13070" width="27.5703125" style="46" customWidth="1"/>
    <col min="13071" max="13071" width="27.140625" style="46" customWidth="1"/>
    <col min="13072" max="13072" width="32.85546875" style="46" customWidth="1"/>
    <col min="13073" max="13073" width="22.42578125" style="46" customWidth="1"/>
    <col min="13074" max="13074" width="28.140625" style="46" customWidth="1"/>
    <col min="13075" max="13075" width="52.42578125" style="46" customWidth="1"/>
    <col min="13076" max="13076" width="32.42578125" style="46" customWidth="1"/>
    <col min="13077" max="13077" width="24.5703125" style="46" customWidth="1"/>
    <col min="13078" max="13078" width="35" style="46" customWidth="1"/>
    <col min="13079" max="13079" width="35.140625" style="46" customWidth="1"/>
    <col min="13080" max="13080" width="41.140625" style="46" customWidth="1"/>
    <col min="13081" max="13081" width="16.42578125" style="46" customWidth="1"/>
    <col min="13082" max="13082" width="21.42578125" style="46" customWidth="1"/>
    <col min="13083" max="13083" width="31.42578125" style="46" customWidth="1"/>
    <col min="13084" max="13084" width="18.140625" style="46" customWidth="1"/>
    <col min="13085" max="13312" width="9.140625" style="46"/>
    <col min="13313" max="13313" width="9.28515625" style="46" customWidth="1"/>
    <col min="13314" max="13314" width="12.85546875" style="46" customWidth="1"/>
    <col min="13315" max="13315" width="167.42578125" style="46" customWidth="1"/>
    <col min="13316" max="13316" width="27.85546875" style="46" customWidth="1"/>
    <col min="13317" max="13317" width="26.140625" style="46" customWidth="1"/>
    <col min="13318" max="13318" width="26.85546875" style="46" customWidth="1"/>
    <col min="13319" max="13319" width="34.5703125" style="46" customWidth="1"/>
    <col min="13320" max="13320" width="23.28515625" style="46" customWidth="1"/>
    <col min="13321" max="13321" width="25.140625" style="46" customWidth="1"/>
    <col min="13322" max="13322" width="24.85546875" style="46" customWidth="1"/>
    <col min="13323" max="13323" width="22" style="46" customWidth="1"/>
    <col min="13324" max="13324" width="25.7109375" style="46" customWidth="1"/>
    <col min="13325" max="13325" width="26.140625" style="46" customWidth="1"/>
    <col min="13326" max="13326" width="27.5703125" style="46" customWidth="1"/>
    <col min="13327" max="13327" width="27.140625" style="46" customWidth="1"/>
    <col min="13328" max="13328" width="32.85546875" style="46" customWidth="1"/>
    <col min="13329" max="13329" width="22.42578125" style="46" customWidth="1"/>
    <col min="13330" max="13330" width="28.140625" style="46" customWidth="1"/>
    <col min="13331" max="13331" width="52.42578125" style="46" customWidth="1"/>
    <col min="13332" max="13332" width="32.42578125" style="46" customWidth="1"/>
    <col min="13333" max="13333" width="24.5703125" style="46" customWidth="1"/>
    <col min="13334" max="13334" width="35" style="46" customWidth="1"/>
    <col min="13335" max="13335" width="35.140625" style="46" customWidth="1"/>
    <col min="13336" max="13336" width="41.140625" style="46" customWidth="1"/>
    <col min="13337" max="13337" width="16.42578125" style="46" customWidth="1"/>
    <col min="13338" max="13338" width="21.42578125" style="46" customWidth="1"/>
    <col min="13339" max="13339" width="31.42578125" style="46" customWidth="1"/>
    <col min="13340" max="13340" width="18.140625" style="46" customWidth="1"/>
    <col min="13341" max="13568" width="9.140625" style="46"/>
    <col min="13569" max="13569" width="9.28515625" style="46" customWidth="1"/>
    <col min="13570" max="13570" width="12.85546875" style="46" customWidth="1"/>
    <col min="13571" max="13571" width="167.42578125" style="46" customWidth="1"/>
    <col min="13572" max="13572" width="27.85546875" style="46" customWidth="1"/>
    <col min="13573" max="13573" width="26.140625" style="46" customWidth="1"/>
    <col min="13574" max="13574" width="26.85546875" style="46" customWidth="1"/>
    <col min="13575" max="13575" width="34.5703125" style="46" customWidth="1"/>
    <col min="13576" max="13576" width="23.28515625" style="46" customWidth="1"/>
    <col min="13577" max="13577" width="25.140625" style="46" customWidth="1"/>
    <col min="13578" max="13578" width="24.85546875" style="46" customWidth="1"/>
    <col min="13579" max="13579" width="22" style="46" customWidth="1"/>
    <col min="13580" max="13580" width="25.7109375" style="46" customWidth="1"/>
    <col min="13581" max="13581" width="26.140625" style="46" customWidth="1"/>
    <col min="13582" max="13582" width="27.5703125" style="46" customWidth="1"/>
    <col min="13583" max="13583" width="27.140625" style="46" customWidth="1"/>
    <col min="13584" max="13584" width="32.85546875" style="46" customWidth="1"/>
    <col min="13585" max="13585" width="22.42578125" style="46" customWidth="1"/>
    <col min="13586" max="13586" width="28.140625" style="46" customWidth="1"/>
    <col min="13587" max="13587" width="52.42578125" style="46" customWidth="1"/>
    <col min="13588" max="13588" width="32.42578125" style="46" customWidth="1"/>
    <col min="13589" max="13589" width="24.5703125" style="46" customWidth="1"/>
    <col min="13590" max="13590" width="35" style="46" customWidth="1"/>
    <col min="13591" max="13591" width="35.140625" style="46" customWidth="1"/>
    <col min="13592" max="13592" width="41.140625" style="46" customWidth="1"/>
    <col min="13593" max="13593" width="16.42578125" style="46" customWidth="1"/>
    <col min="13594" max="13594" width="21.42578125" style="46" customWidth="1"/>
    <col min="13595" max="13595" width="31.42578125" style="46" customWidth="1"/>
    <col min="13596" max="13596" width="18.140625" style="46" customWidth="1"/>
    <col min="13597" max="13824" width="9.140625" style="46"/>
    <col min="13825" max="13825" width="9.28515625" style="46" customWidth="1"/>
    <col min="13826" max="13826" width="12.85546875" style="46" customWidth="1"/>
    <col min="13827" max="13827" width="167.42578125" style="46" customWidth="1"/>
    <col min="13828" max="13828" width="27.85546875" style="46" customWidth="1"/>
    <col min="13829" max="13829" width="26.140625" style="46" customWidth="1"/>
    <col min="13830" max="13830" width="26.85546875" style="46" customWidth="1"/>
    <col min="13831" max="13831" width="34.5703125" style="46" customWidth="1"/>
    <col min="13832" max="13832" width="23.28515625" style="46" customWidth="1"/>
    <col min="13833" max="13833" width="25.140625" style="46" customWidth="1"/>
    <col min="13834" max="13834" width="24.85546875" style="46" customWidth="1"/>
    <col min="13835" max="13835" width="22" style="46" customWidth="1"/>
    <col min="13836" max="13836" width="25.7109375" style="46" customWidth="1"/>
    <col min="13837" max="13837" width="26.140625" style="46" customWidth="1"/>
    <col min="13838" max="13838" width="27.5703125" style="46" customWidth="1"/>
    <col min="13839" max="13839" width="27.140625" style="46" customWidth="1"/>
    <col min="13840" max="13840" width="32.85546875" style="46" customWidth="1"/>
    <col min="13841" max="13841" width="22.42578125" style="46" customWidth="1"/>
    <col min="13842" max="13842" width="28.140625" style="46" customWidth="1"/>
    <col min="13843" max="13843" width="52.42578125" style="46" customWidth="1"/>
    <col min="13844" max="13844" width="32.42578125" style="46" customWidth="1"/>
    <col min="13845" max="13845" width="24.5703125" style="46" customWidth="1"/>
    <col min="13846" max="13846" width="35" style="46" customWidth="1"/>
    <col min="13847" max="13847" width="35.140625" style="46" customWidth="1"/>
    <col min="13848" max="13848" width="41.140625" style="46" customWidth="1"/>
    <col min="13849" max="13849" width="16.42578125" style="46" customWidth="1"/>
    <col min="13850" max="13850" width="21.42578125" style="46" customWidth="1"/>
    <col min="13851" max="13851" width="31.42578125" style="46" customWidth="1"/>
    <col min="13852" max="13852" width="18.140625" style="46" customWidth="1"/>
    <col min="13853" max="14080" width="9.140625" style="46"/>
    <col min="14081" max="14081" width="9.28515625" style="46" customWidth="1"/>
    <col min="14082" max="14082" width="12.85546875" style="46" customWidth="1"/>
    <col min="14083" max="14083" width="167.42578125" style="46" customWidth="1"/>
    <col min="14084" max="14084" width="27.85546875" style="46" customWidth="1"/>
    <col min="14085" max="14085" width="26.140625" style="46" customWidth="1"/>
    <col min="14086" max="14086" width="26.85546875" style="46" customWidth="1"/>
    <col min="14087" max="14087" width="34.5703125" style="46" customWidth="1"/>
    <col min="14088" max="14088" width="23.28515625" style="46" customWidth="1"/>
    <col min="14089" max="14089" width="25.140625" style="46" customWidth="1"/>
    <col min="14090" max="14090" width="24.85546875" style="46" customWidth="1"/>
    <col min="14091" max="14091" width="22" style="46" customWidth="1"/>
    <col min="14092" max="14092" width="25.7109375" style="46" customWidth="1"/>
    <col min="14093" max="14093" width="26.140625" style="46" customWidth="1"/>
    <col min="14094" max="14094" width="27.5703125" style="46" customWidth="1"/>
    <col min="14095" max="14095" width="27.140625" style="46" customWidth="1"/>
    <col min="14096" max="14096" width="32.85546875" style="46" customWidth="1"/>
    <col min="14097" max="14097" width="22.42578125" style="46" customWidth="1"/>
    <col min="14098" max="14098" width="28.140625" style="46" customWidth="1"/>
    <col min="14099" max="14099" width="52.42578125" style="46" customWidth="1"/>
    <col min="14100" max="14100" width="32.42578125" style="46" customWidth="1"/>
    <col min="14101" max="14101" width="24.5703125" style="46" customWidth="1"/>
    <col min="14102" max="14102" width="35" style="46" customWidth="1"/>
    <col min="14103" max="14103" width="35.140625" style="46" customWidth="1"/>
    <col min="14104" max="14104" width="41.140625" style="46" customWidth="1"/>
    <col min="14105" max="14105" width="16.42578125" style="46" customWidth="1"/>
    <col min="14106" max="14106" width="21.42578125" style="46" customWidth="1"/>
    <col min="14107" max="14107" width="31.42578125" style="46" customWidth="1"/>
    <col min="14108" max="14108" width="18.140625" style="46" customWidth="1"/>
    <col min="14109" max="14336" width="9.140625" style="46"/>
    <col min="14337" max="14337" width="9.28515625" style="46" customWidth="1"/>
    <col min="14338" max="14338" width="12.85546875" style="46" customWidth="1"/>
    <col min="14339" max="14339" width="167.42578125" style="46" customWidth="1"/>
    <col min="14340" max="14340" width="27.85546875" style="46" customWidth="1"/>
    <col min="14341" max="14341" width="26.140625" style="46" customWidth="1"/>
    <col min="14342" max="14342" width="26.85546875" style="46" customWidth="1"/>
    <col min="14343" max="14343" width="34.5703125" style="46" customWidth="1"/>
    <col min="14344" max="14344" width="23.28515625" style="46" customWidth="1"/>
    <col min="14345" max="14345" width="25.140625" style="46" customWidth="1"/>
    <col min="14346" max="14346" width="24.85546875" style="46" customWidth="1"/>
    <col min="14347" max="14347" width="22" style="46" customWidth="1"/>
    <col min="14348" max="14348" width="25.7109375" style="46" customWidth="1"/>
    <col min="14349" max="14349" width="26.140625" style="46" customWidth="1"/>
    <col min="14350" max="14350" width="27.5703125" style="46" customWidth="1"/>
    <col min="14351" max="14351" width="27.140625" style="46" customWidth="1"/>
    <col min="14352" max="14352" width="32.85546875" style="46" customWidth="1"/>
    <col min="14353" max="14353" width="22.42578125" style="46" customWidth="1"/>
    <col min="14354" max="14354" width="28.140625" style="46" customWidth="1"/>
    <col min="14355" max="14355" width="52.42578125" style="46" customWidth="1"/>
    <col min="14356" max="14356" width="32.42578125" style="46" customWidth="1"/>
    <col min="14357" max="14357" width="24.5703125" style="46" customWidth="1"/>
    <col min="14358" max="14358" width="35" style="46" customWidth="1"/>
    <col min="14359" max="14359" width="35.140625" style="46" customWidth="1"/>
    <col min="14360" max="14360" width="41.140625" style="46" customWidth="1"/>
    <col min="14361" max="14361" width="16.42578125" style="46" customWidth="1"/>
    <col min="14362" max="14362" width="21.42578125" style="46" customWidth="1"/>
    <col min="14363" max="14363" width="31.42578125" style="46" customWidth="1"/>
    <col min="14364" max="14364" width="18.140625" style="46" customWidth="1"/>
    <col min="14365" max="14592" width="9.140625" style="46"/>
    <col min="14593" max="14593" width="9.28515625" style="46" customWidth="1"/>
    <col min="14594" max="14594" width="12.85546875" style="46" customWidth="1"/>
    <col min="14595" max="14595" width="167.42578125" style="46" customWidth="1"/>
    <col min="14596" max="14596" width="27.85546875" style="46" customWidth="1"/>
    <col min="14597" max="14597" width="26.140625" style="46" customWidth="1"/>
    <col min="14598" max="14598" width="26.85546875" style="46" customWidth="1"/>
    <col min="14599" max="14599" width="34.5703125" style="46" customWidth="1"/>
    <col min="14600" max="14600" width="23.28515625" style="46" customWidth="1"/>
    <col min="14601" max="14601" width="25.140625" style="46" customWidth="1"/>
    <col min="14602" max="14602" width="24.85546875" style="46" customWidth="1"/>
    <col min="14603" max="14603" width="22" style="46" customWidth="1"/>
    <col min="14604" max="14604" width="25.7109375" style="46" customWidth="1"/>
    <col min="14605" max="14605" width="26.140625" style="46" customWidth="1"/>
    <col min="14606" max="14606" width="27.5703125" style="46" customWidth="1"/>
    <col min="14607" max="14607" width="27.140625" style="46" customWidth="1"/>
    <col min="14608" max="14608" width="32.85546875" style="46" customWidth="1"/>
    <col min="14609" max="14609" width="22.42578125" style="46" customWidth="1"/>
    <col min="14610" max="14610" width="28.140625" style="46" customWidth="1"/>
    <col min="14611" max="14611" width="52.42578125" style="46" customWidth="1"/>
    <col min="14612" max="14612" width="32.42578125" style="46" customWidth="1"/>
    <col min="14613" max="14613" width="24.5703125" style="46" customWidth="1"/>
    <col min="14614" max="14614" width="35" style="46" customWidth="1"/>
    <col min="14615" max="14615" width="35.140625" style="46" customWidth="1"/>
    <col min="14616" max="14616" width="41.140625" style="46" customWidth="1"/>
    <col min="14617" max="14617" width="16.42578125" style="46" customWidth="1"/>
    <col min="14618" max="14618" width="21.42578125" style="46" customWidth="1"/>
    <col min="14619" max="14619" width="31.42578125" style="46" customWidth="1"/>
    <col min="14620" max="14620" width="18.140625" style="46" customWidth="1"/>
    <col min="14621" max="14848" width="9.140625" style="46"/>
    <col min="14849" max="14849" width="9.28515625" style="46" customWidth="1"/>
    <col min="14850" max="14850" width="12.85546875" style="46" customWidth="1"/>
    <col min="14851" max="14851" width="167.42578125" style="46" customWidth="1"/>
    <col min="14852" max="14852" width="27.85546875" style="46" customWidth="1"/>
    <col min="14853" max="14853" width="26.140625" style="46" customWidth="1"/>
    <col min="14854" max="14854" width="26.85546875" style="46" customWidth="1"/>
    <col min="14855" max="14855" width="34.5703125" style="46" customWidth="1"/>
    <col min="14856" max="14856" width="23.28515625" style="46" customWidth="1"/>
    <col min="14857" max="14857" width="25.140625" style="46" customWidth="1"/>
    <col min="14858" max="14858" width="24.85546875" style="46" customWidth="1"/>
    <col min="14859" max="14859" width="22" style="46" customWidth="1"/>
    <col min="14860" max="14860" width="25.7109375" style="46" customWidth="1"/>
    <col min="14861" max="14861" width="26.140625" style="46" customWidth="1"/>
    <col min="14862" max="14862" width="27.5703125" style="46" customWidth="1"/>
    <col min="14863" max="14863" width="27.140625" style="46" customWidth="1"/>
    <col min="14864" max="14864" width="32.85546875" style="46" customWidth="1"/>
    <col min="14865" max="14865" width="22.42578125" style="46" customWidth="1"/>
    <col min="14866" max="14866" width="28.140625" style="46" customWidth="1"/>
    <col min="14867" max="14867" width="52.42578125" style="46" customWidth="1"/>
    <col min="14868" max="14868" width="32.42578125" style="46" customWidth="1"/>
    <col min="14869" max="14869" width="24.5703125" style="46" customWidth="1"/>
    <col min="14870" max="14870" width="35" style="46" customWidth="1"/>
    <col min="14871" max="14871" width="35.140625" style="46" customWidth="1"/>
    <col min="14872" max="14872" width="41.140625" style="46" customWidth="1"/>
    <col min="14873" max="14873" width="16.42578125" style="46" customWidth="1"/>
    <col min="14874" max="14874" width="21.42578125" style="46" customWidth="1"/>
    <col min="14875" max="14875" width="31.42578125" style="46" customWidth="1"/>
    <col min="14876" max="14876" width="18.140625" style="46" customWidth="1"/>
    <col min="14877" max="15104" width="9.140625" style="46"/>
    <col min="15105" max="15105" width="9.28515625" style="46" customWidth="1"/>
    <col min="15106" max="15106" width="12.85546875" style="46" customWidth="1"/>
    <col min="15107" max="15107" width="167.42578125" style="46" customWidth="1"/>
    <col min="15108" max="15108" width="27.85546875" style="46" customWidth="1"/>
    <col min="15109" max="15109" width="26.140625" style="46" customWidth="1"/>
    <col min="15110" max="15110" width="26.85546875" style="46" customWidth="1"/>
    <col min="15111" max="15111" width="34.5703125" style="46" customWidth="1"/>
    <col min="15112" max="15112" width="23.28515625" style="46" customWidth="1"/>
    <col min="15113" max="15113" width="25.140625" style="46" customWidth="1"/>
    <col min="15114" max="15114" width="24.85546875" style="46" customWidth="1"/>
    <col min="15115" max="15115" width="22" style="46" customWidth="1"/>
    <col min="15116" max="15116" width="25.7109375" style="46" customWidth="1"/>
    <col min="15117" max="15117" width="26.140625" style="46" customWidth="1"/>
    <col min="15118" max="15118" width="27.5703125" style="46" customWidth="1"/>
    <col min="15119" max="15119" width="27.140625" style="46" customWidth="1"/>
    <col min="15120" max="15120" width="32.85546875" style="46" customWidth="1"/>
    <col min="15121" max="15121" width="22.42578125" style="46" customWidth="1"/>
    <col min="15122" max="15122" width="28.140625" style="46" customWidth="1"/>
    <col min="15123" max="15123" width="52.42578125" style="46" customWidth="1"/>
    <col min="15124" max="15124" width="32.42578125" style="46" customWidth="1"/>
    <col min="15125" max="15125" width="24.5703125" style="46" customWidth="1"/>
    <col min="15126" max="15126" width="35" style="46" customWidth="1"/>
    <col min="15127" max="15127" width="35.140625" style="46" customWidth="1"/>
    <col min="15128" max="15128" width="41.140625" style="46" customWidth="1"/>
    <col min="15129" max="15129" width="16.42578125" style="46" customWidth="1"/>
    <col min="15130" max="15130" width="21.42578125" style="46" customWidth="1"/>
    <col min="15131" max="15131" width="31.42578125" style="46" customWidth="1"/>
    <col min="15132" max="15132" width="18.140625" style="46" customWidth="1"/>
    <col min="15133" max="15360" width="9.140625" style="46"/>
    <col min="15361" max="15361" width="9.28515625" style="46" customWidth="1"/>
    <col min="15362" max="15362" width="12.85546875" style="46" customWidth="1"/>
    <col min="15363" max="15363" width="167.42578125" style="46" customWidth="1"/>
    <col min="15364" max="15364" width="27.85546875" style="46" customWidth="1"/>
    <col min="15365" max="15365" width="26.140625" style="46" customWidth="1"/>
    <col min="15366" max="15366" width="26.85546875" style="46" customWidth="1"/>
    <col min="15367" max="15367" width="34.5703125" style="46" customWidth="1"/>
    <col min="15368" max="15368" width="23.28515625" style="46" customWidth="1"/>
    <col min="15369" max="15369" width="25.140625" style="46" customWidth="1"/>
    <col min="15370" max="15370" width="24.85546875" style="46" customWidth="1"/>
    <col min="15371" max="15371" width="22" style="46" customWidth="1"/>
    <col min="15372" max="15372" width="25.7109375" style="46" customWidth="1"/>
    <col min="15373" max="15373" width="26.140625" style="46" customWidth="1"/>
    <col min="15374" max="15374" width="27.5703125" style="46" customWidth="1"/>
    <col min="15375" max="15375" width="27.140625" style="46" customWidth="1"/>
    <col min="15376" max="15376" width="32.85546875" style="46" customWidth="1"/>
    <col min="15377" max="15377" width="22.42578125" style="46" customWidth="1"/>
    <col min="15378" max="15378" width="28.140625" style="46" customWidth="1"/>
    <col min="15379" max="15379" width="52.42578125" style="46" customWidth="1"/>
    <col min="15380" max="15380" width="32.42578125" style="46" customWidth="1"/>
    <col min="15381" max="15381" width="24.5703125" style="46" customWidth="1"/>
    <col min="15382" max="15382" width="35" style="46" customWidth="1"/>
    <col min="15383" max="15383" width="35.140625" style="46" customWidth="1"/>
    <col min="15384" max="15384" width="41.140625" style="46" customWidth="1"/>
    <col min="15385" max="15385" width="16.42578125" style="46" customWidth="1"/>
    <col min="15386" max="15386" width="21.42578125" style="46" customWidth="1"/>
    <col min="15387" max="15387" width="31.42578125" style="46" customWidth="1"/>
    <col min="15388" max="15388" width="18.140625" style="46" customWidth="1"/>
    <col min="15389" max="15616" width="9.140625" style="46"/>
    <col min="15617" max="15617" width="9.28515625" style="46" customWidth="1"/>
    <col min="15618" max="15618" width="12.85546875" style="46" customWidth="1"/>
    <col min="15619" max="15619" width="167.42578125" style="46" customWidth="1"/>
    <col min="15620" max="15620" width="27.85546875" style="46" customWidth="1"/>
    <col min="15621" max="15621" width="26.140625" style="46" customWidth="1"/>
    <col min="15622" max="15622" width="26.85546875" style="46" customWidth="1"/>
    <col min="15623" max="15623" width="34.5703125" style="46" customWidth="1"/>
    <col min="15624" max="15624" width="23.28515625" style="46" customWidth="1"/>
    <col min="15625" max="15625" width="25.140625" style="46" customWidth="1"/>
    <col min="15626" max="15626" width="24.85546875" style="46" customWidth="1"/>
    <col min="15627" max="15627" width="22" style="46" customWidth="1"/>
    <col min="15628" max="15628" width="25.7109375" style="46" customWidth="1"/>
    <col min="15629" max="15629" width="26.140625" style="46" customWidth="1"/>
    <col min="15630" max="15630" width="27.5703125" style="46" customWidth="1"/>
    <col min="15631" max="15631" width="27.140625" style="46" customWidth="1"/>
    <col min="15632" max="15632" width="32.85546875" style="46" customWidth="1"/>
    <col min="15633" max="15633" width="22.42578125" style="46" customWidth="1"/>
    <col min="15634" max="15634" width="28.140625" style="46" customWidth="1"/>
    <col min="15635" max="15635" width="52.42578125" style="46" customWidth="1"/>
    <col min="15636" max="15636" width="32.42578125" style="46" customWidth="1"/>
    <col min="15637" max="15637" width="24.5703125" style="46" customWidth="1"/>
    <col min="15638" max="15638" width="35" style="46" customWidth="1"/>
    <col min="15639" max="15639" width="35.140625" style="46" customWidth="1"/>
    <col min="15640" max="15640" width="41.140625" style="46" customWidth="1"/>
    <col min="15641" max="15641" width="16.42578125" style="46" customWidth="1"/>
    <col min="15642" max="15642" width="21.42578125" style="46" customWidth="1"/>
    <col min="15643" max="15643" width="31.42578125" style="46" customWidth="1"/>
    <col min="15644" max="15644" width="18.140625" style="46" customWidth="1"/>
    <col min="15645" max="15872" width="9.140625" style="46"/>
    <col min="15873" max="15873" width="9.28515625" style="46" customWidth="1"/>
    <col min="15874" max="15874" width="12.85546875" style="46" customWidth="1"/>
    <col min="15875" max="15875" width="167.42578125" style="46" customWidth="1"/>
    <col min="15876" max="15876" width="27.85546875" style="46" customWidth="1"/>
    <col min="15877" max="15877" width="26.140625" style="46" customWidth="1"/>
    <col min="15878" max="15878" width="26.85546875" style="46" customWidth="1"/>
    <col min="15879" max="15879" width="34.5703125" style="46" customWidth="1"/>
    <col min="15880" max="15880" width="23.28515625" style="46" customWidth="1"/>
    <col min="15881" max="15881" width="25.140625" style="46" customWidth="1"/>
    <col min="15882" max="15882" width="24.85546875" style="46" customWidth="1"/>
    <col min="15883" max="15883" width="22" style="46" customWidth="1"/>
    <col min="15884" max="15884" width="25.7109375" style="46" customWidth="1"/>
    <col min="15885" max="15885" width="26.140625" style="46" customWidth="1"/>
    <col min="15886" max="15886" width="27.5703125" style="46" customWidth="1"/>
    <col min="15887" max="15887" width="27.140625" style="46" customWidth="1"/>
    <col min="15888" max="15888" width="32.85546875" style="46" customWidth="1"/>
    <col min="15889" max="15889" width="22.42578125" style="46" customWidth="1"/>
    <col min="15890" max="15890" width="28.140625" style="46" customWidth="1"/>
    <col min="15891" max="15891" width="52.42578125" style="46" customWidth="1"/>
    <col min="15892" max="15892" width="32.42578125" style="46" customWidth="1"/>
    <col min="15893" max="15893" width="24.5703125" style="46" customWidth="1"/>
    <col min="15894" max="15894" width="35" style="46" customWidth="1"/>
    <col min="15895" max="15895" width="35.140625" style="46" customWidth="1"/>
    <col min="15896" max="15896" width="41.140625" style="46" customWidth="1"/>
    <col min="15897" max="15897" width="16.42578125" style="46" customWidth="1"/>
    <col min="15898" max="15898" width="21.42578125" style="46" customWidth="1"/>
    <col min="15899" max="15899" width="31.42578125" style="46" customWidth="1"/>
    <col min="15900" max="15900" width="18.140625" style="46" customWidth="1"/>
    <col min="15901" max="16128" width="9.140625" style="46"/>
    <col min="16129" max="16129" width="9.28515625" style="46" customWidth="1"/>
    <col min="16130" max="16130" width="12.85546875" style="46" customWidth="1"/>
    <col min="16131" max="16131" width="167.42578125" style="46" customWidth="1"/>
    <col min="16132" max="16132" width="27.85546875" style="46" customWidth="1"/>
    <col min="16133" max="16133" width="26.140625" style="46" customWidth="1"/>
    <col min="16134" max="16134" width="26.85546875" style="46" customWidth="1"/>
    <col min="16135" max="16135" width="34.5703125" style="46" customWidth="1"/>
    <col min="16136" max="16136" width="23.28515625" style="46" customWidth="1"/>
    <col min="16137" max="16137" width="25.140625" style="46" customWidth="1"/>
    <col min="16138" max="16138" width="24.85546875" style="46" customWidth="1"/>
    <col min="16139" max="16139" width="22" style="46" customWidth="1"/>
    <col min="16140" max="16140" width="25.7109375" style="46" customWidth="1"/>
    <col min="16141" max="16141" width="26.140625" style="46" customWidth="1"/>
    <col min="16142" max="16142" width="27.5703125" style="46" customWidth="1"/>
    <col min="16143" max="16143" width="27.140625" style="46" customWidth="1"/>
    <col min="16144" max="16144" width="32.85546875" style="46" customWidth="1"/>
    <col min="16145" max="16145" width="22.42578125" style="46" customWidth="1"/>
    <col min="16146" max="16146" width="28.140625" style="46" customWidth="1"/>
    <col min="16147" max="16147" width="52.42578125" style="46" customWidth="1"/>
    <col min="16148" max="16148" width="32.42578125" style="46" customWidth="1"/>
    <col min="16149" max="16149" width="24.5703125" style="46" customWidth="1"/>
    <col min="16150" max="16150" width="35" style="46" customWidth="1"/>
    <col min="16151" max="16151" width="35.140625" style="46" customWidth="1"/>
    <col min="16152" max="16152" width="41.140625" style="46" customWidth="1"/>
    <col min="16153" max="16153" width="16.42578125" style="46" customWidth="1"/>
    <col min="16154" max="16154" width="21.42578125" style="46" customWidth="1"/>
    <col min="16155" max="16155" width="31.42578125" style="46" customWidth="1"/>
    <col min="16156" max="16156" width="18.140625" style="46" customWidth="1"/>
    <col min="16157" max="16384" width="9.140625" style="46"/>
  </cols>
  <sheetData>
    <row r="1" spans="1:29" s="73" customFormat="1" ht="59.25" customHeight="1">
      <c r="N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B1" s="75" t="s">
        <v>897</v>
      </c>
      <c r="AC1" s="76"/>
    </row>
    <row r="2" spans="1:29" s="73" customFormat="1" ht="59.25" customHeight="1"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B2" s="78" t="s">
        <v>890</v>
      </c>
      <c r="AC2" s="76"/>
    </row>
    <row r="3" spans="1:29" s="73" customFormat="1" ht="59.25" customHeight="1"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B3" s="78" t="s">
        <v>163</v>
      </c>
      <c r="AC3" s="76"/>
    </row>
    <row r="4" spans="1:29" ht="126.75" customHeight="1"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0"/>
      <c r="AB4" s="80"/>
      <c r="AC4" s="8"/>
    </row>
    <row r="5" spans="1:29" s="39" customFormat="1" ht="186.75" customHeight="1">
      <c r="A5" s="189" t="s">
        <v>552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</row>
    <row r="6" spans="1:29" s="40" customFormat="1" ht="63.75" customHeight="1">
      <c r="B6" s="190" t="s">
        <v>0</v>
      </c>
      <c r="C6" s="190" t="s">
        <v>1</v>
      </c>
      <c r="D6" s="191" t="s">
        <v>2</v>
      </c>
      <c r="E6" s="190" t="s">
        <v>167</v>
      </c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4" t="s">
        <v>3</v>
      </c>
      <c r="R6" s="195"/>
      <c r="S6" s="195"/>
      <c r="T6" s="195"/>
      <c r="U6" s="195"/>
      <c r="V6" s="195"/>
      <c r="W6" s="195"/>
      <c r="X6" s="195"/>
      <c r="Y6" s="195"/>
      <c r="Z6" s="195"/>
      <c r="AA6" s="196"/>
      <c r="AB6" s="197" t="s">
        <v>401</v>
      </c>
    </row>
    <row r="7" spans="1:29" s="40" customFormat="1" ht="40.5" customHeight="1">
      <c r="B7" s="190"/>
      <c r="C7" s="190"/>
      <c r="D7" s="192"/>
      <c r="E7" s="190" t="s">
        <v>7</v>
      </c>
      <c r="F7" s="190"/>
      <c r="G7" s="190"/>
      <c r="H7" s="190"/>
      <c r="I7" s="190"/>
      <c r="J7" s="190"/>
      <c r="K7" s="198" t="s">
        <v>8</v>
      </c>
      <c r="L7" s="198"/>
      <c r="M7" s="198" t="s">
        <v>9</v>
      </c>
      <c r="N7" s="198" t="s">
        <v>10</v>
      </c>
      <c r="O7" s="198" t="s">
        <v>11</v>
      </c>
      <c r="P7" s="198" t="s">
        <v>12</v>
      </c>
      <c r="Q7" s="188" t="s">
        <v>402</v>
      </c>
      <c r="R7" s="188" t="s">
        <v>14</v>
      </c>
      <c r="S7" s="188" t="s">
        <v>403</v>
      </c>
      <c r="T7" s="188" t="s">
        <v>16</v>
      </c>
      <c r="U7" s="188" t="s">
        <v>17</v>
      </c>
      <c r="V7" s="188" t="s">
        <v>18</v>
      </c>
      <c r="W7" s="188" t="s">
        <v>404</v>
      </c>
      <c r="X7" s="188" t="s">
        <v>405</v>
      </c>
      <c r="Y7" s="188" t="s">
        <v>19</v>
      </c>
      <c r="Z7" s="188" t="s">
        <v>20</v>
      </c>
      <c r="AA7" s="188" t="s">
        <v>406</v>
      </c>
      <c r="AB7" s="197"/>
    </row>
    <row r="8" spans="1:29" s="40" customFormat="1" ht="409.6" customHeight="1">
      <c r="B8" s="190"/>
      <c r="C8" s="190"/>
      <c r="D8" s="193"/>
      <c r="E8" s="41" t="s">
        <v>21</v>
      </c>
      <c r="F8" s="41" t="s">
        <v>22</v>
      </c>
      <c r="G8" s="41" t="s">
        <v>23</v>
      </c>
      <c r="H8" s="41" t="s">
        <v>24</v>
      </c>
      <c r="I8" s="41" t="s">
        <v>25</v>
      </c>
      <c r="J8" s="41" t="s">
        <v>26</v>
      </c>
      <c r="K8" s="198"/>
      <c r="L8" s="198"/>
      <c r="M8" s="198"/>
      <c r="N8" s="198"/>
      <c r="O8" s="198"/>
      <c r="P8" s="19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97"/>
    </row>
    <row r="9" spans="1:29" s="42" customFormat="1" ht="39.75" customHeight="1">
      <c r="B9" s="190"/>
      <c r="C9" s="190"/>
      <c r="D9" s="43" t="s">
        <v>27</v>
      </c>
      <c r="E9" s="62" t="s">
        <v>27</v>
      </c>
      <c r="F9" s="62" t="s">
        <v>27</v>
      </c>
      <c r="G9" s="62" t="s">
        <v>27</v>
      </c>
      <c r="H9" s="62" t="s">
        <v>27</v>
      </c>
      <c r="I9" s="62" t="s">
        <v>27</v>
      </c>
      <c r="J9" s="62" t="s">
        <v>27</v>
      </c>
      <c r="K9" s="62" t="s">
        <v>28</v>
      </c>
      <c r="L9" s="62" t="s">
        <v>27</v>
      </c>
      <c r="M9" s="62" t="s">
        <v>27</v>
      </c>
      <c r="N9" s="62" t="s">
        <v>27</v>
      </c>
      <c r="O9" s="62" t="s">
        <v>27</v>
      </c>
      <c r="P9" s="62" t="s">
        <v>27</v>
      </c>
      <c r="Q9" s="62" t="s">
        <v>27</v>
      </c>
      <c r="R9" s="62" t="s">
        <v>27</v>
      </c>
      <c r="S9" s="62" t="s">
        <v>27</v>
      </c>
      <c r="T9" s="62" t="s">
        <v>27</v>
      </c>
      <c r="U9" s="62" t="s">
        <v>27</v>
      </c>
      <c r="V9" s="62" t="s">
        <v>27</v>
      </c>
      <c r="W9" s="62" t="s">
        <v>27</v>
      </c>
      <c r="X9" s="62" t="s">
        <v>27</v>
      </c>
      <c r="Y9" s="62" t="s">
        <v>27</v>
      </c>
      <c r="Z9" s="62" t="s">
        <v>27</v>
      </c>
      <c r="AA9" s="62" t="s">
        <v>27</v>
      </c>
      <c r="AB9" s="197"/>
    </row>
    <row r="10" spans="1:29" s="40" customFormat="1" ht="26.25">
      <c r="B10" s="44">
        <v>1</v>
      </c>
      <c r="C10" s="44">
        <v>2</v>
      </c>
      <c r="D10" s="44">
        <f>C10+1</f>
        <v>3</v>
      </c>
      <c r="E10" s="44">
        <f>D10+1</f>
        <v>4</v>
      </c>
      <c r="F10" s="44">
        <v>5</v>
      </c>
      <c r="G10" s="44">
        <v>6</v>
      </c>
      <c r="H10" s="44">
        <v>7</v>
      </c>
      <c r="I10" s="44">
        <v>8</v>
      </c>
      <c r="J10" s="44">
        <v>9</v>
      </c>
      <c r="K10" s="44">
        <v>10</v>
      </c>
      <c r="L10" s="44">
        <v>11</v>
      </c>
      <c r="M10" s="44">
        <v>12</v>
      </c>
      <c r="N10" s="44">
        <v>13</v>
      </c>
      <c r="O10" s="44">
        <v>14</v>
      </c>
      <c r="P10" s="44">
        <v>15</v>
      </c>
      <c r="Q10" s="44">
        <v>16</v>
      </c>
      <c r="R10" s="44">
        <v>17</v>
      </c>
      <c r="S10" s="44">
        <v>18</v>
      </c>
      <c r="T10" s="44">
        <v>19</v>
      </c>
      <c r="U10" s="44">
        <v>20</v>
      </c>
      <c r="V10" s="44">
        <v>21</v>
      </c>
      <c r="W10" s="44">
        <v>22</v>
      </c>
      <c r="X10" s="44">
        <v>23</v>
      </c>
      <c r="Y10" s="44">
        <v>24</v>
      </c>
      <c r="Z10" s="44">
        <v>25</v>
      </c>
      <c r="AA10" s="44">
        <v>26</v>
      </c>
      <c r="AB10" s="45">
        <v>27</v>
      </c>
    </row>
    <row r="11" spans="1:29" s="1" customFormat="1" ht="35.25">
      <c r="B11" s="81" t="s">
        <v>399</v>
      </c>
      <c r="C11" s="82"/>
      <c r="D11" s="83">
        <f>D12+D184+D200+D220+D326+D333+D335+D368+D413+D415+D417+D420+D428+D435+D442+D446+D331+D449+D451+D453+D457+D465+D469+D474+D481+D484</f>
        <v>326069159.25999999</v>
      </c>
      <c r="E11" s="83">
        <f t="shared" ref="E11:AA11" si="0">E12+E184+E200+E220+E326+E333+E335+E368+E413+E415+E417</f>
        <v>6749524.3400000008</v>
      </c>
      <c r="F11" s="83">
        <f t="shared" si="0"/>
        <v>10448873.149999999</v>
      </c>
      <c r="G11" s="83">
        <f t="shared" si="0"/>
        <v>23120371.759999998</v>
      </c>
      <c r="H11" s="83">
        <f t="shared" si="0"/>
        <v>2038544.88</v>
      </c>
      <c r="I11" s="83">
        <f t="shared" si="0"/>
        <v>7890956.3800000008</v>
      </c>
      <c r="J11" s="83">
        <f t="shared" si="0"/>
        <v>88420.66</v>
      </c>
      <c r="K11" s="84">
        <f t="shared" si="0"/>
        <v>61</v>
      </c>
      <c r="L11" s="83">
        <f t="shared" si="0"/>
        <v>69104300.299999997</v>
      </c>
      <c r="M11" s="83">
        <f t="shared" si="0"/>
        <v>106193666.75</v>
      </c>
      <c r="N11" s="83">
        <f t="shared" si="0"/>
        <v>6073487.46</v>
      </c>
      <c r="O11" s="83">
        <f t="shared" si="0"/>
        <v>57231105.270000011</v>
      </c>
      <c r="P11" s="83">
        <f t="shared" si="0"/>
        <v>3909823.97</v>
      </c>
      <c r="Q11" s="83">
        <f t="shared" si="0"/>
        <v>0</v>
      </c>
      <c r="R11" s="83">
        <f t="shared" si="0"/>
        <v>0</v>
      </c>
      <c r="S11" s="83">
        <f t="shared" si="0"/>
        <v>0</v>
      </c>
      <c r="T11" s="83">
        <f t="shared" si="0"/>
        <v>0</v>
      </c>
      <c r="U11" s="83">
        <f t="shared" si="0"/>
        <v>0</v>
      </c>
      <c r="V11" s="83">
        <f t="shared" si="0"/>
        <v>0</v>
      </c>
      <c r="W11" s="83">
        <f t="shared" si="0"/>
        <v>0</v>
      </c>
      <c r="X11" s="83">
        <f t="shared" si="0"/>
        <v>0</v>
      </c>
      <c r="Y11" s="83">
        <f t="shared" si="0"/>
        <v>0</v>
      </c>
      <c r="Z11" s="83">
        <f t="shared" si="0"/>
        <v>139000</v>
      </c>
      <c r="AA11" s="83">
        <f t="shared" si="0"/>
        <v>0</v>
      </c>
      <c r="AB11" s="85" t="s">
        <v>131</v>
      </c>
    </row>
    <row r="12" spans="1:29" s="1" customFormat="1" ht="35.25" customHeight="1">
      <c r="B12" s="81" t="s">
        <v>209</v>
      </c>
      <c r="C12" s="82"/>
      <c r="D12" s="83">
        <f t="shared" ref="D12:AA12" si="1">SUM(D13:D183)</f>
        <v>124582667.07999994</v>
      </c>
      <c r="E12" s="83">
        <f t="shared" si="1"/>
        <v>4810750.66</v>
      </c>
      <c r="F12" s="83">
        <f t="shared" si="1"/>
        <v>7885160.2000000002</v>
      </c>
      <c r="G12" s="83">
        <f t="shared" si="1"/>
        <v>6175323.2000000002</v>
      </c>
      <c r="H12" s="83">
        <f t="shared" si="1"/>
        <v>740861.25</v>
      </c>
      <c r="I12" s="83">
        <f t="shared" si="1"/>
        <v>3034020.53</v>
      </c>
      <c r="J12" s="83">
        <f t="shared" si="1"/>
        <v>0</v>
      </c>
      <c r="K12" s="84">
        <f t="shared" si="1"/>
        <v>34</v>
      </c>
      <c r="L12" s="83">
        <f t="shared" si="1"/>
        <v>19409037.299999997</v>
      </c>
      <c r="M12" s="83">
        <f t="shared" si="1"/>
        <v>52950929.969999999</v>
      </c>
      <c r="N12" s="83">
        <f t="shared" si="1"/>
        <v>3156145.79</v>
      </c>
      <c r="O12" s="83">
        <f t="shared" si="1"/>
        <v>24127492.560000002</v>
      </c>
      <c r="P12" s="83">
        <f t="shared" si="1"/>
        <v>2153945.62</v>
      </c>
      <c r="Q12" s="83">
        <f t="shared" si="1"/>
        <v>0</v>
      </c>
      <c r="R12" s="83">
        <f t="shared" si="1"/>
        <v>0</v>
      </c>
      <c r="S12" s="83">
        <f t="shared" si="1"/>
        <v>0</v>
      </c>
      <c r="T12" s="83">
        <f t="shared" si="1"/>
        <v>0</v>
      </c>
      <c r="U12" s="83">
        <f t="shared" si="1"/>
        <v>0</v>
      </c>
      <c r="V12" s="83">
        <f t="shared" si="1"/>
        <v>0</v>
      </c>
      <c r="W12" s="83">
        <f t="shared" si="1"/>
        <v>0</v>
      </c>
      <c r="X12" s="83">
        <f t="shared" si="1"/>
        <v>0</v>
      </c>
      <c r="Y12" s="83">
        <f t="shared" si="1"/>
        <v>0</v>
      </c>
      <c r="Z12" s="83">
        <f t="shared" si="1"/>
        <v>139000</v>
      </c>
      <c r="AA12" s="83">
        <f t="shared" si="1"/>
        <v>0</v>
      </c>
      <c r="AB12" s="85" t="s">
        <v>131</v>
      </c>
    </row>
    <row r="13" spans="1:29" s="1" customFormat="1" ht="35.25" customHeight="1">
      <c r="A13" s="1">
        <v>1</v>
      </c>
      <c r="B13" s="38">
        <f>SUBTOTAL(103,$A$11:A13)</f>
        <v>1</v>
      </c>
      <c r="C13" s="82" t="s">
        <v>408</v>
      </c>
      <c r="D13" s="83">
        <f t="shared" ref="D13:D32" si="2">E13+F13+G13+H13+I13+J13+L13+M13+N13+O13+P13+Q13+R13+S13+T13+U13+V13+W13+X13+Y13+Z13+AA13</f>
        <v>259217</v>
      </c>
      <c r="E13" s="86">
        <v>0</v>
      </c>
      <c r="F13" s="86">
        <v>0</v>
      </c>
      <c r="G13" s="86">
        <v>259217</v>
      </c>
      <c r="H13" s="86">
        <v>0</v>
      </c>
      <c r="I13" s="86">
        <v>0</v>
      </c>
      <c r="J13" s="86">
        <v>0</v>
      </c>
      <c r="K13" s="87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  <c r="R13" s="86">
        <v>0</v>
      </c>
      <c r="S13" s="86">
        <v>0</v>
      </c>
      <c r="T13" s="86">
        <v>0</v>
      </c>
      <c r="U13" s="86">
        <v>0</v>
      </c>
      <c r="V13" s="86">
        <v>0</v>
      </c>
      <c r="W13" s="86">
        <v>0</v>
      </c>
      <c r="X13" s="86">
        <v>0</v>
      </c>
      <c r="Y13" s="86">
        <v>0</v>
      </c>
      <c r="Z13" s="86">
        <v>0</v>
      </c>
      <c r="AA13" s="86">
        <v>0</v>
      </c>
      <c r="AB13" s="88">
        <v>2020</v>
      </c>
    </row>
    <row r="14" spans="1:29" s="1" customFormat="1" ht="35.25" customHeight="1">
      <c r="A14" s="1">
        <v>1</v>
      </c>
      <c r="B14" s="38">
        <f>SUBTOTAL(103,$A$11:A14)</f>
        <v>2</v>
      </c>
      <c r="C14" s="82" t="s">
        <v>409</v>
      </c>
      <c r="D14" s="83">
        <f t="shared" si="2"/>
        <v>389342</v>
      </c>
      <c r="E14" s="89">
        <v>0</v>
      </c>
      <c r="F14" s="89">
        <v>0</v>
      </c>
      <c r="G14" s="89">
        <v>0</v>
      </c>
      <c r="H14" s="89">
        <v>0</v>
      </c>
      <c r="I14" s="89">
        <v>0</v>
      </c>
      <c r="J14" s="89">
        <v>0</v>
      </c>
      <c r="K14" s="90">
        <v>0</v>
      </c>
      <c r="L14" s="89">
        <v>0</v>
      </c>
      <c r="M14" s="89">
        <v>0</v>
      </c>
      <c r="N14" s="89">
        <v>0</v>
      </c>
      <c r="O14" s="89">
        <f>116802.6+272539.4</f>
        <v>389342</v>
      </c>
      <c r="P14" s="89">
        <v>0</v>
      </c>
      <c r="Q14" s="89">
        <v>0</v>
      </c>
      <c r="R14" s="89">
        <v>0</v>
      </c>
      <c r="S14" s="89">
        <v>0</v>
      </c>
      <c r="T14" s="89">
        <v>0</v>
      </c>
      <c r="U14" s="89">
        <v>0</v>
      </c>
      <c r="V14" s="89">
        <v>0</v>
      </c>
      <c r="W14" s="89">
        <v>0</v>
      </c>
      <c r="X14" s="89">
        <v>0</v>
      </c>
      <c r="Y14" s="89">
        <v>0</v>
      </c>
      <c r="Z14" s="89">
        <v>0</v>
      </c>
      <c r="AA14" s="89">
        <v>0</v>
      </c>
      <c r="AB14" s="88">
        <v>2020</v>
      </c>
    </row>
    <row r="15" spans="1:29" s="1" customFormat="1" ht="35.25" customHeight="1">
      <c r="A15" s="1">
        <v>1</v>
      </c>
      <c r="B15" s="38">
        <f>SUBTOTAL(103,$A$11:A15)</f>
        <v>3</v>
      </c>
      <c r="C15" s="82" t="s">
        <v>410</v>
      </c>
      <c r="D15" s="83">
        <f t="shared" si="2"/>
        <v>611403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7">
        <v>0</v>
      </c>
      <c r="L15" s="86">
        <v>0</v>
      </c>
      <c r="M15" s="86">
        <v>0</v>
      </c>
      <c r="N15" s="86">
        <v>0</v>
      </c>
      <c r="O15" s="86">
        <f>90148+521255</f>
        <v>611403</v>
      </c>
      <c r="P15" s="86">
        <v>0</v>
      </c>
      <c r="Q15" s="86">
        <v>0</v>
      </c>
      <c r="R15" s="86">
        <v>0</v>
      </c>
      <c r="S15" s="86">
        <v>0</v>
      </c>
      <c r="T15" s="86">
        <v>0</v>
      </c>
      <c r="U15" s="86">
        <v>0</v>
      </c>
      <c r="V15" s="86">
        <v>0</v>
      </c>
      <c r="W15" s="86">
        <v>0</v>
      </c>
      <c r="X15" s="86">
        <v>0</v>
      </c>
      <c r="Y15" s="86">
        <v>0</v>
      </c>
      <c r="Z15" s="86">
        <v>0</v>
      </c>
      <c r="AA15" s="86">
        <v>0</v>
      </c>
      <c r="AB15" s="88">
        <v>2020</v>
      </c>
    </row>
    <row r="16" spans="1:29" s="1" customFormat="1" ht="35.25" customHeight="1">
      <c r="A16" s="1">
        <v>1</v>
      </c>
      <c r="B16" s="38">
        <f>SUBTOTAL(103,$A$11:A16)</f>
        <v>4</v>
      </c>
      <c r="C16" s="82" t="s">
        <v>411</v>
      </c>
      <c r="D16" s="83">
        <f t="shared" si="2"/>
        <v>238788.19999999998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7">
        <v>0</v>
      </c>
      <c r="L16" s="86">
        <v>0</v>
      </c>
      <c r="M16" s="86">
        <v>0</v>
      </c>
      <c r="N16" s="86">
        <v>150788.79999999999</v>
      </c>
      <c r="O16" s="86">
        <v>87999.4</v>
      </c>
      <c r="P16" s="86">
        <v>0</v>
      </c>
      <c r="Q16" s="86">
        <v>0</v>
      </c>
      <c r="R16" s="86">
        <v>0</v>
      </c>
      <c r="S16" s="86">
        <v>0</v>
      </c>
      <c r="T16" s="86">
        <v>0</v>
      </c>
      <c r="U16" s="86">
        <v>0</v>
      </c>
      <c r="V16" s="86">
        <v>0</v>
      </c>
      <c r="W16" s="86">
        <v>0</v>
      </c>
      <c r="X16" s="86">
        <v>0</v>
      </c>
      <c r="Y16" s="86">
        <v>0</v>
      </c>
      <c r="Z16" s="86">
        <v>0</v>
      </c>
      <c r="AA16" s="86">
        <v>0</v>
      </c>
      <c r="AB16" s="88">
        <v>2020</v>
      </c>
    </row>
    <row r="17" spans="1:28" s="1" customFormat="1" ht="35.25" customHeight="1">
      <c r="A17" s="1">
        <v>1</v>
      </c>
      <c r="B17" s="38">
        <f>SUBTOTAL(103,$A$11:A17)</f>
        <v>5</v>
      </c>
      <c r="C17" s="82" t="s">
        <v>412</v>
      </c>
      <c r="D17" s="83">
        <f t="shared" si="2"/>
        <v>620000</v>
      </c>
      <c r="E17" s="86">
        <v>0</v>
      </c>
      <c r="F17" s="86">
        <v>0</v>
      </c>
      <c r="G17" s="86">
        <v>0</v>
      </c>
      <c r="H17" s="86">
        <v>0</v>
      </c>
      <c r="I17" s="86">
        <f>210000+410000</f>
        <v>620000</v>
      </c>
      <c r="J17" s="86">
        <v>0</v>
      </c>
      <c r="K17" s="87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6">
        <v>0</v>
      </c>
      <c r="Y17" s="86">
        <v>0</v>
      </c>
      <c r="Z17" s="86">
        <v>0</v>
      </c>
      <c r="AA17" s="86">
        <v>0</v>
      </c>
      <c r="AB17" s="88">
        <v>2020</v>
      </c>
    </row>
    <row r="18" spans="1:28" s="1" customFormat="1" ht="35.25" customHeight="1">
      <c r="A18" s="1">
        <v>1</v>
      </c>
      <c r="B18" s="38">
        <f>SUBTOTAL(103,$A$11:A18)</f>
        <v>6</v>
      </c>
      <c r="C18" s="82" t="s">
        <v>413</v>
      </c>
      <c r="D18" s="83">
        <f t="shared" si="2"/>
        <v>120500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0</v>
      </c>
      <c r="K18" s="87">
        <v>0</v>
      </c>
      <c r="L18" s="86">
        <v>0</v>
      </c>
      <c r="M18" s="86">
        <f>31500+89000</f>
        <v>120500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6">
        <v>0</v>
      </c>
      <c r="Y18" s="86">
        <v>0</v>
      </c>
      <c r="Z18" s="86">
        <v>0</v>
      </c>
      <c r="AA18" s="86">
        <v>0</v>
      </c>
      <c r="AB18" s="88">
        <v>2020</v>
      </c>
    </row>
    <row r="19" spans="1:28" s="1" customFormat="1" ht="35.25" customHeight="1">
      <c r="A19" s="1">
        <v>1</v>
      </c>
      <c r="B19" s="38">
        <f>SUBTOTAL(103,$A$11:A19)</f>
        <v>7</v>
      </c>
      <c r="C19" s="82" t="s">
        <v>414</v>
      </c>
      <c r="D19" s="83">
        <f t="shared" si="2"/>
        <v>102980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7">
        <v>0</v>
      </c>
      <c r="L19" s="86">
        <v>0</v>
      </c>
      <c r="M19" s="86">
        <v>0</v>
      </c>
      <c r="N19" s="86">
        <v>0</v>
      </c>
      <c r="O19" s="86">
        <v>102980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6">
        <v>0</v>
      </c>
      <c r="Y19" s="86">
        <v>0</v>
      </c>
      <c r="Z19" s="86">
        <v>0</v>
      </c>
      <c r="AA19" s="86">
        <v>0</v>
      </c>
      <c r="AB19" s="88">
        <v>2020</v>
      </c>
    </row>
    <row r="20" spans="1:28" s="1" customFormat="1" ht="35.25" customHeight="1">
      <c r="A20" s="1">
        <v>1</v>
      </c>
      <c r="B20" s="38">
        <f>SUBTOTAL(103,$A$11:A20)</f>
        <v>8</v>
      </c>
      <c r="C20" s="82" t="s">
        <v>415</v>
      </c>
      <c r="D20" s="83">
        <f t="shared" si="2"/>
        <v>548443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7">
        <v>0</v>
      </c>
      <c r="L20" s="86">
        <v>0</v>
      </c>
      <c r="M20" s="86">
        <v>0</v>
      </c>
      <c r="N20" s="86">
        <v>0</v>
      </c>
      <c r="O20" s="86">
        <v>548443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8">
        <v>2020</v>
      </c>
    </row>
    <row r="21" spans="1:28" s="1" customFormat="1" ht="35.25" customHeight="1">
      <c r="A21" s="1">
        <v>1</v>
      </c>
      <c r="B21" s="38">
        <f>SUBTOTAL(103,$A$11:A21)</f>
        <v>9</v>
      </c>
      <c r="C21" s="82" t="s">
        <v>416</v>
      </c>
      <c r="D21" s="83">
        <f t="shared" si="2"/>
        <v>302478.55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7">
        <v>0</v>
      </c>
      <c r="L21" s="86">
        <v>0</v>
      </c>
      <c r="M21" s="86">
        <v>0</v>
      </c>
      <c r="N21" s="86">
        <v>106078.31</v>
      </c>
      <c r="O21" s="86">
        <f>81255.24+34543.5</f>
        <v>115798.74</v>
      </c>
      <c r="P21" s="86">
        <v>80601.5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  <c r="AB21" s="88">
        <v>2020</v>
      </c>
    </row>
    <row r="22" spans="1:28" s="1" customFormat="1" ht="35.25" customHeight="1">
      <c r="A22" s="1">
        <v>1</v>
      </c>
      <c r="B22" s="38">
        <f>SUBTOTAL(103,$A$11:A22)</f>
        <v>10</v>
      </c>
      <c r="C22" s="82" t="s">
        <v>417</v>
      </c>
      <c r="D22" s="83">
        <f t="shared" si="2"/>
        <v>302059.34000000003</v>
      </c>
      <c r="E22" s="86">
        <v>0</v>
      </c>
      <c r="F22" s="86">
        <v>0</v>
      </c>
      <c r="G22" s="86">
        <f>75345.7+175806.64</f>
        <v>251152.34000000003</v>
      </c>
      <c r="H22" s="86">
        <v>0</v>
      </c>
      <c r="I22" s="86">
        <v>0</v>
      </c>
      <c r="J22" s="86">
        <v>0</v>
      </c>
      <c r="K22" s="87">
        <v>1</v>
      </c>
      <c r="L22" s="86">
        <v>50907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6">
        <v>0</v>
      </c>
      <c r="Y22" s="86">
        <v>0</v>
      </c>
      <c r="Z22" s="86">
        <v>0</v>
      </c>
      <c r="AA22" s="86">
        <v>0</v>
      </c>
      <c r="AB22" s="88">
        <v>2020</v>
      </c>
    </row>
    <row r="23" spans="1:28" s="1" customFormat="1" ht="35.25" customHeight="1">
      <c r="A23" s="1">
        <v>1</v>
      </c>
      <c r="B23" s="38">
        <f>SUBTOTAL(103,$A$11:A23)</f>
        <v>11</v>
      </c>
      <c r="C23" s="82" t="s">
        <v>419</v>
      </c>
      <c r="D23" s="83">
        <f t="shared" si="2"/>
        <v>1208460</v>
      </c>
      <c r="E23" s="86">
        <v>0</v>
      </c>
      <c r="F23" s="86">
        <v>0</v>
      </c>
      <c r="G23" s="86">
        <v>0</v>
      </c>
      <c r="H23" s="86">
        <v>0</v>
      </c>
      <c r="I23" s="86">
        <v>0</v>
      </c>
      <c r="J23" s="86">
        <v>0</v>
      </c>
      <c r="K23" s="87">
        <v>0</v>
      </c>
      <c r="L23" s="86">
        <v>0</v>
      </c>
      <c r="M23" s="86">
        <v>0</v>
      </c>
      <c r="N23" s="86">
        <v>0</v>
      </c>
      <c r="O23" s="86">
        <v>1208460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6">
        <v>0</v>
      </c>
      <c r="Y23" s="86">
        <v>0</v>
      </c>
      <c r="Z23" s="86">
        <v>0</v>
      </c>
      <c r="AA23" s="86">
        <v>0</v>
      </c>
      <c r="AB23" s="88">
        <v>2020</v>
      </c>
    </row>
    <row r="24" spans="1:28" s="1" customFormat="1" ht="35.25" customHeight="1">
      <c r="A24" s="1">
        <v>1</v>
      </c>
      <c r="B24" s="38">
        <f>SUBTOTAL(103,$A$11:A24)</f>
        <v>12</v>
      </c>
      <c r="C24" s="82" t="s">
        <v>420</v>
      </c>
      <c r="D24" s="83">
        <f t="shared" si="2"/>
        <v>120351</v>
      </c>
      <c r="E24" s="86">
        <v>0</v>
      </c>
      <c r="F24" s="86">
        <v>0</v>
      </c>
      <c r="G24" s="86">
        <v>0</v>
      </c>
      <c r="H24" s="86">
        <v>0</v>
      </c>
      <c r="I24" s="86">
        <v>0</v>
      </c>
      <c r="J24" s="86">
        <v>0</v>
      </c>
      <c r="K24" s="87">
        <v>1</v>
      </c>
      <c r="L24" s="86">
        <f>36105.3+84245.7</f>
        <v>120351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0</v>
      </c>
      <c r="T24" s="86">
        <v>0</v>
      </c>
      <c r="U24" s="86">
        <v>0</v>
      </c>
      <c r="V24" s="86">
        <v>0</v>
      </c>
      <c r="W24" s="86">
        <v>0</v>
      </c>
      <c r="X24" s="86">
        <v>0</v>
      </c>
      <c r="Y24" s="86">
        <v>0</v>
      </c>
      <c r="Z24" s="86">
        <v>0</v>
      </c>
      <c r="AA24" s="86">
        <v>0</v>
      </c>
      <c r="AB24" s="88">
        <v>2020</v>
      </c>
    </row>
    <row r="25" spans="1:28" s="1" customFormat="1" ht="35.25" customHeight="1">
      <c r="A25" s="1">
        <v>1</v>
      </c>
      <c r="B25" s="38">
        <f>SUBTOTAL(103,$A$11:A25)</f>
        <v>13</v>
      </c>
      <c r="C25" s="82" t="s">
        <v>421</v>
      </c>
      <c r="D25" s="83">
        <f t="shared" si="2"/>
        <v>224568</v>
      </c>
      <c r="E25" s="86">
        <v>0</v>
      </c>
      <c r="F25" s="86">
        <v>0</v>
      </c>
      <c r="G25" s="86">
        <v>224568</v>
      </c>
      <c r="H25" s="86">
        <v>0</v>
      </c>
      <c r="I25" s="86">
        <v>0</v>
      </c>
      <c r="J25" s="86">
        <v>0</v>
      </c>
      <c r="K25" s="87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6">
        <v>0</v>
      </c>
      <c r="Y25" s="86">
        <v>0</v>
      </c>
      <c r="Z25" s="86">
        <v>0</v>
      </c>
      <c r="AA25" s="86">
        <v>0</v>
      </c>
      <c r="AB25" s="88">
        <v>2020</v>
      </c>
    </row>
    <row r="26" spans="1:28" s="1" customFormat="1" ht="35.25" customHeight="1">
      <c r="A26" s="1">
        <v>1</v>
      </c>
      <c r="B26" s="38">
        <f>SUBTOTAL(103,$A$11:A26)</f>
        <v>14</v>
      </c>
      <c r="C26" s="82" t="s">
        <v>422</v>
      </c>
      <c r="D26" s="83">
        <f>E26+F26+G26+H26+I26+J26+L26+M26+N26+O26+P26+Q26+R26+S26+T26+U26+V26+W26+X26+Y26+Z26+AA26</f>
        <v>107933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7">
        <v>1</v>
      </c>
      <c r="L26" s="86">
        <v>107933</v>
      </c>
      <c r="M26" s="86">
        <v>0</v>
      </c>
      <c r="N26" s="86">
        <v>0</v>
      </c>
      <c r="O26" s="86">
        <v>0</v>
      </c>
      <c r="P26" s="86">
        <v>0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6">
        <v>0</v>
      </c>
      <c r="Y26" s="86">
        <v>0</v>
      </c>
      <c r="Z26" s="86">
        <v>0</v>
      </c>
      <c r="AA26" s="86">
        <v>0</v>
      </c>
      <c r="AB26" s="88">
        <v>2020</v>
      </c>
    </row>
    <row r="27" spans="1:28" s="1" customFormat="1" ht="35.25" customHeight="1">
      <c r="A27" s="1">
        <v>1</v>
      </c>
      <c r="B27" s="38">
        <f>SUBTOTAL(103,$A$11:A27)</f>
        <v>15</v>
      </c>
      <c r="C27" s="82" t="s">
        <v>423</v>
      </c>
      <c r="D27" s="83">
        <f t="shared" si="2"/>
        <v>869766.7</v>
      </c>
      <c r="E27" s="86">
        <v>0</v>
      </c>
      <c r="F27" s="86">
        <v>677767</v>
      </c>
      <c r="G27" s="86">
        <v>0</v>
      </c>
      <c r="H27" s="86">
        <v>0</v>
      </c>
      <c r="I27" s="86">
        <v>0</v>
      </c>
      <c r="J27" s="86">
        <v>0</v>
      </c>
      <c r="K27" s="87">
        <v>0</v>
      </c>
      <c r="L27" s="86">
        <v>0</v>
      </c>
      <c r="M27" s="86">
        <v>0</v>
      </c>
      <c r="N27" s="86">
        <v>0</v>
      </c>
      <c r="O27" s="86">
        <v>0</v>
      </c>
      <c r="P27" s="86">
        <v>191999.7</v>
      </c>
      <c r="Q27" s="86">
        <v>0</v>
      </c>
      <c r="R27" s="86">
        <v>0</v>
      </c>
      <c r="S27" s="86">
        <v>0</v>
      </c>
      <c r="T27" s="86">
        <v>0</v>
      </c>
      <c r="U27" s="86">
        <v>0</v>
      </c>
      <c r="V27" s="86">
        <v>0</v>
      </c>
      <c r="W27" s="86">
        <v>0</v>
      </c>
      <c r="X27" s="86">
        <v>0</v>
      </c>
      <c r="Y27" s="86">
        <v>0</v>
      </c>
      <c r="Z27" s="86">
        <v>0</v>
      </c>
      <c r="AA27" s="86">
        <v>0</v>
      </c>
      <c r="AB27" s="88">
        <v>2020</v>
      </c>
    </row>
    <row r="28" spans="1:28" s="1" customFormat="1" ht="35.25" customHeight="1">
      <c r="A28" s="1">
        <v>1</v>
      </c>
      <c r="B28" s="38">
        <f>SUBTOTAL(103,$A$11:A28)</f>
        <v>16</v>
      </c>
      <c r="C28" s="82" t="s">
        <v>424</v>
      </c>
      <c r="D28" s="83">
        <f t="shared" si="2"/>
        <v>54271</v>
      </c>
      <c r="E28" s="86">
        <v>0</v>
      </c>
      <c r="F28" s="86">
        <v>0</v>
      </c>
      <c r="G28" s="86">
        <v>0</v>
      </c>
      <c r="H28" s="86">
        <v>0</v>
      </c>
      <c r="I28" s="86">
        <v>0</v>
      </c>
      <c r="J28" s="86">
        <v>0</v>
      </c>
      <c r="K28" s="87">
        <v>1</v>
      </c>
      <c r="L28" s="86">
        <f>11188+43083</f>
        <v>54271</v>
      </c>
      <c r="M28" s="86">
        <v>0</v>
      </c>
      <c r="N28" s="86">
        <v>0</v>
      </c>
      <c r="O28" s="86">
        <v>0</v>
      </c>
      <c r="P28" s="86">
        <v>0</v>
      </c>
      <c r="Q28" s="86">
        <v>0</v>
      </c>
      <c r="R28" s="86">
        <v>0</v>
      </c>
      <c r="S28" s="86">
        <v>0</v>
      </c>
      <c r="T28" s="86">
        <v>0</v>
      </c>
      <c r="U28" s="86">
        <v>0</v>
      </c>
      <c r="V28" s="86">
        <v>0</v>
      </c>
      <c r="W28" s="86">
        <v>0</v>
      </c>
      <c r="X28" s="86">
        <v>0</v>
      </c>
      <c r="Y28" s="86">
        <v>0</v>
      </c>
      <c r="Z28" s="86">
        <v>0</v>
      </c>
      <c r="AA28" s="86">
        <v>0</v>
      </c>
      <c r="AB28" s="88">
        <v>2020</v>
      </c>
    </row>
    <row r="29" spans="1:28" s="1" customFormat="1" ht="35.25" customHeight="1">
      <c r="A29" s="1">
        <v>1</v>
      </c>
      <c r="B29" s="38">
        <f>SUBTOTAL(103,$A$11:A29)</f>
        <v>17</v>
      </c>
      <c r="C29" s="82" t="s">
        <v>426</v>
      </c>
      <c r="D29" s="83">
        <f t="shared" si="2"/>
        <v>922851</v>
      </c>
      <c r="E29" s="86">
        <v>0</v>
      </c>
      <c r="F29" s="86">
        <v>0</v>
      </c>
      <c r="G29" s="86">
        <f>226595.6+581473</f>
        <v>808068.6</v>
      </c>
      <c r="H29" s="86">
        <v>0</v>
      </c>
      <c r="I29" s="86">
        <v>0</v>
      </c>
      <c r="J29" s="86">
        <v>0</v>
      </c>
      <c r="K29" s="87">
        <v>0</v>
      </c>
      <c r="L29" s="86">
        <v>0</v>
      </c>
      <c r="M29" s="86">
        <v>0</v>
      </c>
      <c r="N29" s="86">
        <v>0</v>
      </c>
      <c r="O29" s="86">
        <v>114782.39999999999</v>
      </c>
      <c r="P29" s="86"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6">
        <v>0</v>
      </c>
      <c r="Y29" s="86">
        <v>0</v>
      </c>
      <c r="Z29" s="86">
        <v>0</v>
      </c>
      <c r="AA29" s="86">
        <v>0</v>
      </c>
      <c r="AB29" s="88">
        <v>2020</v>
      </c>
    </row>
    <row r="30" spans="1:28" s="1" customFormat="1" ht="35.25" customHeight="1">
      <c r="A30" s="1">
        <v>1</v>
      </c>
      <c r="B30" s="38">
        <f>SUBTOTAL(103,$A$11:A30)</f>
        <v>18</v>
      </c>
      <c r="C30" s="82" t="s">
        <v>427</v>
      </c>
      <c r="D30" s="83">
        <f>E30+F30+G30+H30+I30+J30+L30+M30+N30+O30+P30+Q30+R30+S30+T30+U30+V30+W30+X30+Y30+Z30+AA30</f>
        <v>144000</v>
      </c>
      <c r="E30" s="86">
        <v>0</v>
      </c>
      <c r="F30" s="86">
        <v>0</v>
      </c>
      <c r="G30" s="86">
        <v>0</v>
      </c>
      <c r="H30" s="86">
        <v>0</v>
      </c>
      <c r="I30" s="86">
        <v>0</v>
      </c>
      <c r="J30" s="86">
        <v>0</v>
      </c>
      <c r="K30" s="87">
        <v>3</v>
      </c>
      <c r="L30" s="86">
        <f>43200+100800</f>
        <v>144000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86">
        <v>0</v>
      </c>
      <c r="S30" s="86">
        <v>0</v>
      </c>
      <c r="T30" s="86">
        <v>0</v>
      </c>
      <c r="U30" s="86">
        <v>0</v>
      </c>
      <c r="V30" s="86">
        <v>0</v>
      </c>
      <c r="W30" s="86">
        <v>0</v>
      </c>
      <c r="X30" s="86">
        <v>0</v>
      </c>
      <c r="Y30" s="86">
        <v>0</v>
      </c>
      <c r="Z30" s="86">
        <v>0</v>
      </c>
      <c r="AA30" s="86">
        <v>0</v>
      </c>
      <c r="AB30" s="88">
        <v>2020</v>
      </c>
    </row>
    <row r="31" spans="1:28" s="1" customFormat="1" ht="35.25" customHeight="1">
      <c r="A31" s="1">
        <v>1</v>
      </c>
      <c r="B31" s="38">
        <f>SUBTOTAL(103,$A$11:A31)</f>
        <v>19</v>
      </c>
      <c r="C31" s="82" t="s">
        <v>428</v>
      </c>
      <c r="D31" s="83">
        <f t="shared" si="2"/>
        <v>1488582.1</v>
      </c>
      <c r="E31" s="86">
        <v>0</v>
      </c>
      <c r="F31" s="86">
        <v>0</v>
      </c>
      <c r="G31" s="86">
        <v>394253</v>
      </c>
      <c r="H31" s="86">
        <v>0</v>
      </c>
      <c r="I31" s="86">
        <v>60029.1</v>
      </c>
      <c r="J31" s="86">
        <v>0</v>
      </c>
      <c r="K31" s="87">
        <v>1</v>
      </c>
      <c r="L31" s="86">
        <v>180000</v>
      </c>
      <c r="M31" s="86">
        <v>854300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6">
        <v>0</v>
      </c>
      <c r="Y31" s="86">
        <v>0</v>
      </c>
      <c r="Z31" s="86">
        <v>0</v>
      </c>
      <c r="AA31" s="86">
        <v>0</v>
      </c>
      <c r="AB31" s="88">
        <v>2020</v>
      </c>
    </row>
    <row r="32" spans="1:28" s="1" customFormat="1" ht="35.25" customHeight="1">
      <c r="A32" s="1">
        <v>1</v>
      </c>
      <c r="B32" s="38">
        <f>SUBTOTAL(103,$A$11:A32)</f>
        <v>20</v>
      </c>
      <c r="C32" s="82" t="s">
        <v>429</v>
      </c>
      <c r="D32" s="83">
        <f t="shared" si="2"/>
        <v>939723.6</v>
      </c>
      <c r="E32" s="86">
        <v>0</v>
      </c>
      <c r="F32" s="86">
        <v>0</v>
      </c>
      <c r="G32" s="86">
        <v>0</v>
      </c>
      <c r="H32" s="86">
        <v>0</v>
      </c>
      <c r="I32" s="86">
        <v>0</v>
      </c>
      <c r="J32" s="86">
        <v>0</v>
      </c>
      <c r="K32" s="87">
        <v>1</v>
      </c>
      <c r="L32" s="86">
        <v>357151.2</v>
      </c>
      <c r="M32" s="86">
        <v>0</v>
      </c>
      <c r="N32" s="86">
        <v>240306</v>
      </c>
      <c r="O32" s="86">
        <v>342266.4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0</v>
      </c>
      <c r="Y32" s="86">
        <v>0</v>
      </c>
      <c r="Z32" s="86">
        <v>0</v>
      </c>
      <c r="AA32" s="86">
        <v>0</v>
      </c>
      <c r="AB32" s="88">
        <v>2020</v>
      </c>
    </row>
    <row r="33" spans="1:28" s="1" customFormat="1" ht="35.25" customHeight="1">
      <c r="A33" s="1">
        <v>1</v>
      </c>
      <c r="B33" s="38">
        <f>SUBTOTAL(103,$A$11:A33)</f>
        <v>21</v>
      </c>
      <c r="C33" s="82" t="s">
        <v>430</v>
      </c>
      <c r="D33" s="83">
        <f>E33+F33+G33+H33+I33+J33+L33+M33+N33+O33+P33+Q33+R33+S33+T33+U33+V33+W33+X33+Y33+Z33+AA33</f>
        <v>5100000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7">
        <v>3</v>
      </c>
      <c r="L33" s="86">
        <v>5100000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6">
        <v>0</v>
      </c>
      <c r="Y33" s="86">
        <v>0</v>
      </c>
      <c r="Z33" s="86">
        <v>0</v>
      </c>
      <c r="AA33" s="86">
        <v>0</v>
      </c>
      <c r="AB33" s="88">
        <v>2020</v>
      </c>
    </row>
    <row r="34" spans="1:28" s="1" customFormat="1" ht="35.25" customHeight="1">
      <c r="A34" s="1">
        <v>1</v>
      </c>
      <c r="B34" s="38">
        <f>SUBTOTAL(103,$A$11:A34)</f>
        <v>22</v>
      </c>
      <c r="C34" s="82" t="s">
        <v>431</v>
      </c>
      <c r="D34" s="83">
        <f t="shared" ref="D34:D78" si="3">E34+F34+G34+H34+I34+J34+L34+M34+N34+O34+P34+Q34+R34+S34+T34+U34+V34+W34+X34+Y34+Z34+AA34</f>
        <v>333729</v>
      </c>
      <c r="E34" s="86">
        <v>0</v>
      </c>
      <c r="F34" s="86">
        <v>0</v>
      </c>
      <c r="G34" s="86">
        <v>333729</v>
      </c>
      <c r="H34" s="86">
        <v>0</v>
      </c>
      <c r="I34" s="86">
        <v>0</v>
      </c>
      <c r="J34" s="86">
        <v>0</v>
      </c>
      <c r="K34" s="87">
        <v>0</v>
      </c>
      <c r="L34" s="86">
        <v>0</v>
      </c>
      <c r="M34" s="86">
        <v>0</v>
      </c>
      <c r="N34" s="86">
        <v>0</v>
      </c>
      <c r="O34" s="86">
        <v>0</v>
      </c>
      <c r="P34" s="86">
        <v>0</v>
      </c>
      <c r="Q34" s="86">
        <v>0</v>
      </c>
      <c r="R34" s="86">
        <v>0</v>
      </c>
      <c r="S34" s="86">
        <v>0</v>
      </c>
      <c r="T34" s="86">
        <v>0</v>
      </c>
      <c r="U34" s="86">
        <v>0</v>
      </c>
      <c r="V34" s="86">
        <v>0</v>
      </c>
      <c r="W34" s="86">
        <v>0</v>
      </c>
      <c r="X34" s="86">
        <v>0</v>
      </c>
      <c r="Y34" s="86">
        <v>0</v>
      </c>
      <c r="Z34" s="86">
        <v>0</v>
      </c>
      <c r="AA34" s="86">
        <v>0</v>
      </c>
      <c r="AB34" s="88">
        <v>2020</v>
      </c>
    </row>
    <row r="35" spans="1:28" s="1" customFormat="1" ht="35.25" customHeight="1">
      <c r="A35" s="1">
        <v>1</v>
      </c>
      <c r="B35" s="38">
        <f>SUBTOTAL(103,$A$11:A35)</f>
        <v>23</v>
      </c>
      <c r="C35" s="82" t="s">
        <v>432</v>
      </c>
      <c r="D35" s="83">
        <f t="shared" si="3"/>
        <v>562422.5</v>
      </c>
      <c r="E35" s="86">
        <v>195422.5</v>
      </c>
      <c r="F35" s="86">
        <v>0</v>
      </c>
      <c r="G35" s="86">
        <v>322000</v>
      </c>
      <c r="H35" s="86">
        <v>45000</v>
      </c>
      <c r="I35" s="86">
        <v>0</v>
      </c>
      <c r="J35" s="86">
        <v>0</v>
      </c>
      <c r="K35" s="87">
        <v>0</v>
      </c>
      <c r="L35" s="86">
        <v>0</v>
      </c>
      <c r="M35" s="86">
        <v>0</v>
      </c>
      <c r="N35" s="86">
        <v>0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6">
        <v>0</v>
      </c>
      <c r="Y35" s="86">
        <v>0</v>
      </c>
      <c r="Z35" s="86">
        <v>0</v>
      </c>
      <c r="AA35" s="86">
        <v>0</v>
      </c>
      <c r="AB35" s="88">
        <v>2020</v>
      </c>
    </row>
    <row r="36" spans="1:28" s="1" customFormat="1" ht="35.25" customHeight="1">
      <c r="A36" s="1">
        <v>1</v>
      </c>
      <c r="B36" s="38">
        <f>SUBTOTAL(103,$A$11:A36)</f>
        <v>24</v>
      </c>
      <c r="C36" s="82" t="s">
        <v>433</v>
      </c>
      <c r="D36" s="83">
        <f t="shared" si="3"/>
        <v>162333.46</v>
      </c>
      <c r="E36" s="86">
        <f>119000+7516.64</f>
        <v>126516.64</v>
      </c>
      <c r="F36" s="86">
        <v>0</v>
      </c>
      <c r="G36" s="86">
        <v>0</v>
      </c>
      <c r="H36" s="86">
        <v>21109.82</v>
      </c>
      <c r="I36" s="86">
        <v>0</v>
      </c>
      <c r="J36" s="86">
        <v>0</v>
      </c>
      <c r="K36" s="87">
        <v>1</v>
      </c>
      <c r="L36" s="86">
        <v>14707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6">
        <v>0</v>
      </c>
      <c r="Y36" s="86">
        <v>0</v>
      </c>
      <c r="Z36" s="86">
        <v>0</v>
      </c>
      <c r="AA36" s="86">
        <v>0</v>
      </c>
      <c r="AB36" s="88">
        <v>2020</v>
      </c>
    </row>
    <row r="37" spans="1:28" s="1" customFormat="1" ht="35.25" customHeight="1">
      <c r="A37" s="1">
        <v>1</v>
      </c>
      <c r="B37" s="38">
        <f>SUBTOTAL(103,$A$11:A37)</f>
        <v>25</v>
      </c>
      <c r="C37" s="82" t="s">
        <v>434</v>
      </c>
      <c r="D37" s="83">
        <f t="shared" si="3"/>
        <v>375942</v>
      </c>
      <c r="E37" s="86">
        <v>0</v>
      </c>
      <c r="F37" s="86">
        <v>0</v>
      </c>
      <c r="G37" s="86">
        <v>375942</v>
      </c>
      <c r="H37" s="86">
        <v>0</v>
      </c>
      <c r="I37" s="86">
        <v>0</v>
      </c>
      <c r="J37" s="86">
        <v>0</v>
      </c>
      <c r="K37" s="87">
        <v>0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6">
        <v>0</v>
      </c>
      <c r="Y37" s="86">
        <v>0</v>
      </c>
      <c r="Z37" s="86">
        <v>0</v>
      </c>
      <c r="AA37" s="86">
        <v>0</v>
      </c>
      <c r="AB37" s="88">
        <v>2020</v>
      </c>
    </row>
    <row r="38" spans="1:28" s="1" customFormat="1" ht="35.25" customHeight="1">
      <c r="A38" s="1">
        <v>1</v>
      </c>
      <c r="B38" s="38">
        <f>SUBTOTAL(103,$A$11:A38)</f>
        <v>26</v>
      </c>
      <c r="C38" s="82" t="s">
        <v>435</v>
      </c>
      <c r="D38" s="83">
        <f t="shared" si="3"/>
        <v>116700.38</v>
      </c>
      <c r="E38" s="86">
        <v>0</v>
      </c>
      <c r="F38" s="86">
        <v>0</v>
      </c>
      <c r="G38" s="86">
        <v>0</v>
      </c>
      <c r="H38" s="86">
        <v>0</v>
      </c>
      <c r="I38" s="86">
        <v>0</v>
      </c>
      <c r="J38" s="86">
        <v>0</v>
      </c>
      <c r="K38" s="87">
        <v>0</v>
      </c>
      <c r="L38" s="86">
        <v>0</v>
      </c>
      <c r="M38" s="86">
        <v>0</v>
      </c>
      <c r="N38" s="86">
        <v>0</v>
      </c>
      <c r="O38" s="86">
        <v>116700.38</v>
      </c>
      <c r="P38" s="86">
        <v>0</v>
      </c>
      <c r="Q38" s="86">
        <v>0</v>
      </c>
      <c r="R38" s="86">
        <v>0</v>
      </c>
      <c r="S38" s="86">
        <v>0</v>
      </c>
      <c r="T38" s="86">
        <v>0</v>
      </c>
      <c r="U38" s="86">
        <v>0</v>
      </c>
      <c r="V38" s="86">
        <v>0</v>
      </c>
      <c r="W38" s="86">
        <v>0</v>
      </c>
      <c r="X38" s="86">
        <v>0</v>
      </c>
      <c r="Y38" s="86">
        <v>0</v>
      </c>
      <c r="Z38" s="86">
        <v>0</v>
      </c>
      <c r="AA38" s="86">
        <v>0</v>
      </c>
      <c r="AB38" s="88">
        <v>2020</v>
      </c>
    </row>
    <row r="39" spans="1:28" s="1" customFormat="1" ht="35.25" customHeight="1">
      <c r="A39" s="1">
        <v>1</v>
      </c>
      <c r="B39" s="38">
        <f>SUBTOTAL(103,$A$11:A39)</f>
        <v>27</v>
      </c>
      <c r="C39" s="82" t="s">
        <v>437</v>
      </c>
      <c r="D39" s="83">
        <f t="shared" si="3"/>
        <v>659488</v>
      </c>
      <c r="E39" s="86">
        <v>0</v>
      </c>
      <c r="F39" s="86">
        <v>0</v>
      </c>
      <c r="G39" s="86">
        <v>0</v>
      </c>
      <c r="H39" s="86">
        <v>0</v>
      </c>
      <c r="I39" s="86">
        <v>0</v>
      </c>
      <c r="J39" s="86">
        <v>0</v>
      </c>
      <c r="K39" s="87">
        <v>0</v>
      </c>
      <c r="L39" s="86">
        <v>0</v>
      </c>
      <c r="M39" s="86">
        <v>659488</v>
      </c>
      <c r="N39" s="86">
        <v>0</v>
      </c>
      <c r="O39" s="86">
        <v>0</v>
      </c>
      <c r="P39" s="86">
        <v>0</v>
      </c>
      <c r="Q39" s="86">
        <v>0</v>
      </c>
      <c r="R39" s="86">
        <v>0</v>
      </c>
      <c r="S39" s="86">
        <v>0</v>
      </c>
      <c r="T39" s="86">
        <v>0</v>
      </c>
      <c r="U39" s="86">
        <v>0</v>
      </c>
      <c r="V39" s="86">
        <v>0</v>
      </c>
      <c r="W39" s="86">
        <v>0</v>
      </c>
      <c r="X39" s="86">
        <v>0</v>
      </c>
      <c r="Y39" s="86">
        <v>0</v>
      </c>
      <c r="Z39" s="86">
        <v>0</v>
      </c>
      <c r="AA39" s="86">
        <v>0</v>
      </c>
      <c r="AB39" s="88">
        <v>2020</v>
      </c>
    </row>
    <row r="40" spans="1:28" s="1" customFormat="1" ht="35.25" customHeight="1">
      <c r="A40" s="1">
        <v>1</v>
      </c>
      <c r="B40" s="38">
        <f>SUBTOTAL(103,$A$11:A40)</f>
        <v>28</v>
      </c>
      <c r="C40" s="82" t="s">
        <v>438</v>
      </c>
      <c r="D40" s="83">
        <f t="shared" si="3"/>
        <v>177700</v>
      </c>
      <c r="E40" s="86">
        <v>0</v>
      </c>
      <c r="F40" s="86">
        <v>0</v>
      </c>
      <c r="G40" s="86">
        <v>0</v>
      </c>
      <c r="H40" s="86">
        <v>0</v>
      </c>
      <c r="I40" s="86">
        <v>0</v>
      </c>
      <c r="J40" s="86">
        <v>0</v>
      </c>
      <c r="K40" s="87">
        <v>1</v>
      </c>
      <c r="L40" s="86">
        <v>177700</v>
      </c>
      <c r="M40" s="86">
        <v>0</v>
      </c>
      <c r="N40" s="86">
        <v>0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6">
        <v>0</v>
      </c>
      <c r="Y40" s="86">
        <v>0</v>
      </c>
      <c r="Z40" s="86">
        <v>0</v>
      </c>
      <c r="AA40" s="86">
        <v>0</v>
      </c>
      <c r="AB40" s="88">
        <v>2020</v>
      </c>
    </row>
    <row r="41" spans="1:28" s="1" customFormat="1" ht="35.25" customHeight="1">
      <c r="A41" s="1">
        <v>1</v>
      </c>
      <c r="B41" s="38">
        <f>SUBTOTAL(103,$A$11:A41)</f>
        <v>29</v>
      </c>
      <c r="C41" s="82" t="s">
        <v>439</v>
      </c>
      <c r="D41" s="83">
        <f t="shared" si="3"/>
        <v>3600000</v>
      </c>
      <c r="E41" s="86">
        <v>0</v>
      </c>
      <c r="F41" s="86">
        <v>0</v>
      </c>
      <c r="G41" s="86">
        <v>0</v>
      </c>
      <c r="H41" s="86">
        <v>0</v>
      </c>
      <c r="I41" s="86">
        <v>0</v>
      </c>
      <c r="J41" s="86">
        <v>0</v>
      </c>
      <c r="K41" s="87">
        <v>2</v>
      </c>
      <c r="L41" s="86">
        <v>3600000</v>
      </c>
      <c r="M41" s="86">
        <v>0</v>
      </c>
      <c r="N41" s="86">
        <v>0</v>
      </c>
      <c r="O41" s="86">
        <v>0</v>
      </c>
      <c r="P41" s="86">
        <v>0</v>
      </c>
      <c r="Q41" s="86">
        <v>0</v>
      </c>
      <c r="R41" s="86">
        <v>0</v>
      </c>
      <c r="S41" s="86">
        <v>0</v>
      </c>
      <c r="T41" s="86">
        <v>0</v>
      </c>
      <c r="U41" s="86">
        <v>0</v>
      </c>
      <c r="V41" s="86">
        <v>0</v>
      </c>
      <c r="W41" s="86">
        <v>0</v>
      </c>
      <c r="X41" s="86">
        <v>0</v>
      </c>
      <c r="Y41" s="86">
        <v>0</v>
      </c>
      <c r="Z41" s="86">
        <v>0</v>
      </c>
      <c r="AA41" s="86">
        <v>0</v>
      </c>
      <c r="AB41" s="88">
        <v>2020</v>
      </c>
    </row>
    <row r="42" spans="1:28" s="1" customFormat="1" ht="35.25" customHeight="1">
      <c r="A42" s="1">
        <v>1</v>
      </c>
      <c r="B42" s="38">
        <f>SUBTOTAL(103,$A$11:A42)</f>
        <v>30</v>
      </c>
      <c r="C42" s="82" t="s">
        <v>440</v>
      </c>
      <c r="D42" s="83">
        <f t="shared" si="3"/>
        <v>132450</v>
      </c>
      <c r="E42" s="86">
        <v>0</v>
      </c>
      <c r="F42" s="86">
        <v>0</v>
      </c>
      <c r="G42" s="86">
        <v>0</v>
      </c>
      <c r="H42" s="86">
        <v>0</v>
      </c>
      <c r="I42" s="86">
        <v>0</v>
      </c>
      <c r="J42" s="86">
        <v>0</v>
      </c>
      <c r="K42" s="87">
        <v>0</v>
      </c>
      <c r="L42" s="86">
        <v>0</v>
      </c>
      <c r="M42" s="86">
        <v>132450</v>
      </c>
      <c r="N42" s="86">
        <v>0</v>
      </c>
      <c r="O42" s="86">
        <v>0</v>
      </c>
      <c r="P42" s="86">
        <v>0</v>
      </c>
      <c r="Q42" s="86">
        <v>0</v>
      </c>
      <c r="R42" s="86">
        <v>0</v>
      </c>
      <c r="S42" s="86">
        <v>0</v>
      </c>
      <c r="T42" s="86">
        <v>0</v>
      </c>
      <c r="U42" s="86">
        <v>0</v>
      </c>
      <c r="V42" s="86">
        <v>0</v>
      </c>
      <c r="W42" s="86">
        <v>0</v>
      </c>
      <c r="X42" s="86">
        <v>0</v>
      </c>
      <c r="Y42" s="86">
        <v>0</v>
      </c>
      <c r="Z42" s="86">
        <v>0</v>
      </c>
      <c r="AA42" s="86">
        <v>0</v>
      </c>
      <c r="AB42" s="88">
        <v>2020</v>
      </c>
    </row>
    <row r="43" spans="1:28" s="1" customFormat="1" ht="35.25" customHeight="1">
      <c r="A43" s="1">
        <v>1</v>
      </c>
      <c r="B43" s="38">
        <f>SUBTOTAL(103,$A$11:A43)</f>
        <v>31</v>
      </c>
      <c r="C43" s="82" t="s">
        <v>442</v>
      </c>
      <c r="D43" s="83">
        <f t="shared" si="3"/>
        <v>1039214</v>
      </c>
      <c r="E43" s="86">
        <v>0</v>
      </c>
      <c r="F43" s="86">
        <v>0</v>
      </c>
      <c r="G43" s="86">
        <f>20464.2+47749.8</f>
        <v>68214</v>
      </c>
      <c r="H43" s="86">
        <v>0</v>
      </c>
      <c r="I43" s="86">
        <v>0</v>
      </c>
      <c r="J43" s="86">
        <v>0</v>
      </c>
      <c r="K43" s="87">
        <v>0</v>
      </c>
      <c r="L43" s="86">
        <v>0</v>
      </c>
      <c r="M43" s="86">
        <f>172650+402850</f>
        <v>575500</v>
      </c>
      <c r="N43" s="86">
        <f>118650+276850</f>
        <v>395500</v>
      </c>
      <c r="O43" s="86">
        <v>0</v>
      </c>
      <c r="P43" s="86">
        <v>0</v>
      </c>
      <c r="Q43" s="86">
        <v>0</v>
      </c>
      <c r="R43" s="86">
        <v>0</v>
      </c>
      <c r="S43" s="86">
        <v>0</v>
      </c>
      <c r="T43" s="86">
        <v>0</v>
      </c>
      <c r="U43" s="86">
        <v>0</v>
      </c>
      <c r="V43" s="86">
        <v>0</v>
      </c>
      <c r="W43" s="86">
        <v>0</v>
      </c>
      <c r="X43" s="86">
        <v>0</v>
      </c>
      <c r="Y43" s="86">
        <v>0</v>
      </c>
      <c r="Z43" s="86">
        <v>0</v>
      </c>
      <c r="AA43" s="86">
        <v>0</v>
      </c>
      <c r="AB43" s="88">
        <v>2020</v>
      </c>
    </row>
    <row r="44" spans="1:28" s="1" customFormat="1" ht="35.25" customHeight="1">
      <c r="A44" s="1">
        <v>1</v>
      </c>
      <c r="B44" s="38">
        <f>SUBTOTAL(103,$A$11:A44)</f>
        <v>32</v>
      </c>
      <c r="C44" s="82" t="s">
        <v>443</v>
      </c>
      <c r="D44" s="83">
        <f>E44+F44+G44+H44+I44+J44+L44+M44+N44+O44+P44+Q44+R44+S44+T44+U44+V44+W44+X44+Y44+Z44+AA44</f>
        <v>580372</v>
      </c>
      <c r="E44" s="86">
        <v>0</v>
      </c>
      <c r="F44" s="86">
        <v>0</v>
      </c>
      <c r="G44" s="86">
        <v>0</v>
      </c>
      <c r="H44" s="86">
        <v>0</v>
      </c>
      <c r="I44" s="86">
        <v>0</v>
      </c>
      <c r="J44" s="86">
        <v>0</v>
      </c>
      <c r="K44" s="87">
        <v>1</v>
      </c>
      <c r="L44" s="86">
        <v>174530</v>
      </c>
      <c r="M44" s="86">
        <v>0</v>
      </c>
      <c r="N44" s="86">
        <v>0</v>
      </c>
      <c r="O44" s="86">
        <v>405842</v>
      </c>
      <c r="P44" s="86">
        <v>0</v>
      </c>
      <c r="Q44" s="86">
        <v>0</v>
      </c>
      <c r="R44" s="86">
        <v>0</v>
      </c>
      <c r="S44" s="86">
        <v>0</v>
      </c>
      <c r="T44" s="86">
        <v>0</v>
      </c>
      <c r="U44" s="86">
        <v>0</v>
      </c>
      <c r="V44" s="86">
        <v>0</v>
      </c>
      <c r="W44" s="86">
        <v>0</v>
      </c>
      <c r="X44" s="86">
        <v>0</v>
      </c>
      <c r="Y44" s="86">
        <v>0</v>
      </c>
      <c r="Z44" s="86">
        <v>0</v>
      </c>
      <c r="AA44" s="86">
        <v>0</v>
      </c>
      <c r="AB44" s="88">
        <v>2020</v>
      </c>
    </row>
    <row r="45" spans="1:28" s="1" customFormat="1" ht="35.25" customHeight="1">
      <c r="A45" s="1">
        <v>1</v>
      </c>
      <c r="B45" s="38">
        <f>SUBTOTAL(103,$A$11:A45)</f>
        <v>33</v>
      </c>
      <c r="C45" s="82" t="s">
        <v>444</v>
      </c>
      <c r="D45" s="83">
        <f t="shared" si="3"/>
        <v>1750000</v>
      </c>
      <c r="E45" s="86">
        <v>0</v>
      </c>
      <c r="F45" s="86">
        <v>0</v>
      </c>
      <c r="G45" s="86">
        <v>0</v>
      </c>
      <c r="H45" s="86">
        <v>0</v>
      </c>
      <c r="I45" s="86">
        <v>0</v>
      </c>
      <c r="J45" s="86">
        <v>0</v>
      </c>
      <c r="K45" s="87">
        <v>1</v>
      </c>
      <c r="L45" s="86">
        <v>1750000</v>
      </c>
      <c r="M45" s="86">
        <v>0</v>
      </c>
      <c r="N45" s="86">
        <v>0</v>
      </c>
      <c r="O45" s="86">
        <v>0</v>
      </c>
      <c r="P45" s="86">
        <v>0</v>
      </c>
      <c r="Q45" s="86">
        <v>0</v>
      </c>
      <c r="R45" s="86">
        <v>0</v>
      </c>
      <c r="S45" s="86">
        <v>0</v>
      </c>
      <c r="T45" s="86">
        <v>0</v>
      </c>
      <c r="U45" s="86">
        <v>0</v>
      </c>
      <c r="V45" s="86">
        <v>0</v>
      </c>
      <c r="W45" s="86">
        <v>0</v>
      </c>
      <c r="X45" s="86">
        <v>0</v>
      </c>
      <c r="Y45" s="86">
        <v>0</v>
      </c>
      <c r="Z45" s="86">
        <v>0</v>
      </c>
      <c r="AA45" s="86">
        <v>0</v>
      </c>
      <c r="AB45" s="88">
        <v>2020</v>
      </c>
    </row>
    <row r="46" spans="1:28" s="1" customFormat="1" ht="35.25" customHeight="1">
      <c r="A46" s="1">
        <v>1</v>
      </c>
      <c r="B46" s="38">
        <f>SUBTOTAL(103,$A$11:A46)</f>
        <v>34</v>
      </c>
      <c r="C46" s="82" t="s">
        <v>448</v>
      </c>
      <c r="D46" s="83">
        <f t="shared" si="3"/>
        <v>550000</v>
      </c>
      <c r="E46" s="86">
        <v>0</v>
      </c>
      <c r="F46" s="86">
        <v>0</v>
      </c>
      <c r="G46" s="86">
        <v>0</v>
      </c>
      <c r="H46" s="86">
        <v>0</v>
      </c>
      <c r="I46" s="86">
        <v>0</v>
      </c>
      <c r="J46" s="86">
        <v>0</v>
      </c>
      <c r="K46" s="87">
        <v>0</v>
      </c>
      <c r="L46" s="86">
        <v>0</v>
      </c>
      <c r="M46" s="86">
        <v>0</v>
      </c>
      <c r="N46" s="86">
        <v>0</v>
      </c>
      <c r="O46" s="86">
        <v>550000</v>
      </c>
      <c r="P46" s="86">
        <v>0</v>
      </c>
      <c r="Q46" s="86">
        <v>0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6">
        <v>0</v>
      </c>
      <c r="Y46" s="86">
        <v>0</v>
      </c>
      <c r="Z46" s="86">
        <v>0</v>
      </c>
      <c r="AA46" s="86">
        <v>0</v>
      </c>
      <c r="AB46" s="88">
        <v>2020</v>
      </c>
    </row>
    <row r="47" spans="1:28" s="1" customFormat="1" ht="35.25" customHeight="1">
      <c r="A47" s="1">
        <v>1</v>
      </c>
      <c r="B47" s="38">
        <f>SUBTOTAL(103,$A$11:A47)</f>
        <v>35</v>
      </c>
      <c r="C47" s="82" t="s">
        <v>449</v>
      </c>
      <c r="D47" s="83">
        <f t="shared" si="3"/>
        <v>767597.9</v>
      </c>
      <c r="E47" s="86">
        <v>261568.6</v>
      </c>
      <c r="F47" s="86">
        <v>353140.57</v>
      </c>
      <c r="G47" s="86">
        <v>0</v>
      </c>
      <c r="H47" s="86">
        <v>152888.73000000001</v>
      </c>
      <c r="I47" s="86">
        <v>0</v>
      </c>
      <c r="J47" s="86">
        <v>0</v>
      </c>
      <c r="K47" s="87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6">
        <v>0</v>
      </c>
      <c r="Y47" s="86">
        <v>0</v>
      </c>
      <c r="Z47" s="86">
        <v>0</v>
      </c>
      <c r="AA47" s="86">
        <v>0</v>
      </c>
      <c r="AB47" s="88">
        <v>2020</v>
      </c>
    </row>
    <row r="48" spans="1:28" s="1" customFormat="1" ht="35.25" customHeight="1">
      <c r="A48" s="1">
        <v>1</v>
      </c>
      <c r="B48" s="38">
        <f>SUBTOTAL(103,$A$11:A48)</f>
        <v>36</v>
      </c>
      <c r="C48" s="82" t="s">
        <v>450</v>
      </c>
      <c r="D48" s="83">
        <f t="shared" si="3"/>
        <v>1459045.55</v>
      </c>
      <c r="E48" s="86">
        <v>0</v>
      </c>
      <c r="F48" s="86">
        <v>0</v>
      </c>
      <c r="G48" s="86">
        <v>0</v>
      </c>
      <c r="H48" s="86">
        <v>0</v>
      </c>
      <c r="I48" s="86">
        <v>0</v>
      </c>
      <c r="J48" s="86">
        <v>0</v>
      </c>
      <c r="K48" s="87">
        <v>0</v>
      </c>
      <c r="L48" s="86">
        <v>0</v>
      </c>
      <c r="M48" s="86">
        <v>1459045.55</v>
      </c>
      <c r="N48" s="86">
        <v>0</v>
      </c>
      <c r="O48" s="86">
        <v>0</v>
      </c>
      <c r="P48" s="86">
        <v>0</v>
      </c>
      <c r="Q48" s="86">
        <v>0</v>
      </c>
      <c r="R48" s="86">
        <v>0</v>
      </c>
      <c r="S48" s="86">
        <v>0</v>
      </c>
      <c r="T48" s="86">
        <v>0</v>
      </c>
      <c r="U48" s="86">
        <v>0</v>
      </c>
      <c r="V48" s="86">
        <v>0</v>
      </c>
      <c r="W48" s="86">
        <v>0</v>
      </c>
      <c r="X48" s="86">
        <v>0</v>
      </c>
      <c r="Y48" s="86">
        <v>0</v>
      </c>
      <c r="Z48" s="86">
        <v>0</v>
      </c>
      <c r="AA48" s="86">
        <v>0</v>
      </c>
      <c r="AB48" s="88">
        <v>2020</v>
      </c>
    </row>
    <row r="49" spans="1:28" s="1" customFormat="1" ht="35.25" customHeight="1">
      <c r="A49" s="1">
        <v>1</v>
      </c>
      <c r="B49" s="38">
        <f>SUBTOTAL(103,$A$11:A49)</f>
        <v>37</v>
      </c>
      <c r="C49" s="82" t="s">
        <v>451</v>
      </c>
      <c r="D49" s="83">
        <f t="shared" si="3"/>
        <v>293676</v>
      </c>
      <c r="E49" s="86">
        <v>0</v>
      </c>
      <c r="F49" s="86">
        <v>0</v>
      </c>
      <c r="G49" s="86">
        <v>0</v>
      </c>
      <c r="H49" s="86">
        <v>0</v>
      </c>
      <c r="I49" s="86">
        <v>0</v>
      </c>
      <c r="J49" s="86">
        <v>0</v>
      </c>
      <c r="K49" s="87">
        <v>1</v>
      </c>
      <c r="L49" s="86">
        <v>293676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6">
        <v>0</v>
      </c>
      <c r="Y49" s="86">
        <v>0</v>
      </c>
      <c r="Z49" s="86">
        <v>0</v>
      </c>
      <c r="AA49" s="86">
        <v>0</v>
      </c>
      <c r="AB49" s="88">
        <v>2020</v>
      </c>
    </row>
    <row r="50" spans="1:28" s="1" customFormat="1" ht="35.25" customHeight="1">
      <c r="A50" s="1">
        <v>1</v>
      </c>
      <c r="B50" s="38">
        <f>SUBTOTAL(103,$A$11:A50)</f>
        <v>38</v>
      </c>
      <c r="C50" s="82" t="s">
        <v>452</v>
      </c>
      <c r="D50" s="83">
        <f t="shared" si="3"/>
        <v>2123411</v>
      </c>
      <c r="E50" s="86">
        <v>0</v>
      </c>
      <c r="F50" s="86">
        <v>0</v>
      </c>
      <c r="G50" s="86">
        <v>0</v>
      </c>
      <c r="H50" s="86">
        <v>0</v>
      </c>
      <c r="I50" s="86">
        <v>0</v>
      </c>
      <c r="J50" s="86">
        <v>0</v>
      </c>
      <c r="K50" s="87">
        <v>0</v>
      </c>
      <c r="L50" s="86">
        <v>0</v>
      </c>
      <c r="M50" s="86">
        <v>2123411</v>
      </c>
      <c r="N50" s="86">
        <v>0</v>
      </c>
      <c r="O50" s="86">
        <v>0</v>
      </c>
      <c r="P50" s="86">
        <v>0</v>
      </c>
      <c r="Q50" s="86">
        <v>0</v>
      </c>
      <c r="R50" s="86">
        <v>0</v>
      </c>
      <c r="S50" s="86">
        <v>0</v>
      </c>
      <c r="T50" s="86">
        <v>0</v>
      </c>
      <c r="U50" s="86">
        <v>0</v>
      </c>
      <c r="V50" s="86">
        <v>0</v>
      </c>
      <c r="W50" s="86">
        <v>0</v>
      </c>
      <c r="X50" s="86">
        <v>0</v>
      </c>
      <c r="Y50" s="86">
        <v>0</v>
      </c>
      <c r="Z50" s="86">
        <v>0</v>
      </c>
      <c r="AA50" s="86">
        <v>0</v>
      </c>
      <c r="AB50" s="88">
        <v>2020</v>
      </c>
    </row>
    <row r="51" spans="1:28" s="1" customFormat="1" ht="35.25" customHeight="1">
      <c r="A51" s="1">
        <v>1</v>
      </c>
      <c r="B51" s="38">
        <f>SUBTOTAL(103,$A$11:A51)</f>
        <v>39</v>
      </c>
      <c r="C51" s="82" t="s">
        <v>453</v>
      </c>
      <c r="D51" s="83">
        <f t="shared" si="3"/>
        <v>230447</v>
      </c>
      <c r="E51" s="86">
        <v>0</v>
      </c>
      <c r="F51" s="86">
        <v>0</v>
      </c>
      <c r="G51" s="86">
        <v>0</v>
      </c>
      <c r="H51" s="86">
        <v>0</v>
      </c>
      <c r="I51" s="86">
        <v>0</v>
      </c>
      <c r="J51" s="86">
        <v>0</v>
      </c>
      <c r="K51" s="87">
        <v>0</v>
      </c>
      <c r="L51" s="86">
        <v>0</v>
      </c>
      <c r="M51" s="86">
        <v>0</v>
      </c>
      <c r="N51" s="86">
        <v>0</v>
      </c>
      <c r="O51" s="86">
        <v>230447</v>
      </c>
      <c r="P51" s="86">
        <v>0</v>
      </c>
      <c r="Q51" s="86">
        <v>0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6">
        <v>0</v>
      </c>
      <c r="Y51" s="86">
        <v>0</v>
      </c>
      <c r="Z51" s="86">
        <v>0</v>
      </c>
      <c r="AA51" s="86">
        <v>0</v>
      </c>
      <c r="AB51" s="88">
        <v>2020</v>
      </c>
    </row>
    <row r="52" spans="1:28" s="1" customFormat="1" ht="35.25" customHeight="1">
      <c r="A52" s="1">
        <v>1</v>
      </c>
      <c r="B52" s="38">
        <f>SUBTOTAL(103,$A$11:A52)</f>
        <v>40</v>
      </c>
      <c r="C52" s="82" t="s">
        <v>454</v>
      </c>
      <c r="D52" s="83">
        <f t="shared" si="3"/>
        <v>532382.57999999996</v>
      </c>
      <c r="E52" s="86">
        <v>0</v>
      </c>
      <c r="F52" s="86">
        <v>0</v>
      </c>
      <c r="G52" s="86">
        <v>0</v>
      </c>
      <c r="H52" s="86">
        <v>0</v>
      </c>
      <c r="I52" s="86">
        <v>532382.57999999996</v>
      </c>
      <c r="J52" s="86">
        <v>0</v>
      </c>
      <c r="K52" s="87">
        <v>0</v>
      </c>
      <c r="L52" s="86">
        <v>0</v>
      </c>
      <c r="M52" s="86">
        <v>0</v>
      </c>
      <c r="N52" s="86">
        <v>0</v>
      </c>
      <c r="O52" s="86">
        <v>0</v>
      </c>
      <c r="P52" s="86">
        <v>0</v>
      </c>
      <c r="Q52" s="86">
        <v>0</v>
      </c>
      <c r="R52" s="86">
        <v>0</v>
      </c>
      <c r="S52" s="86">
        <v>0</v>
      </c>
      <c r="T52" s="86">
        <v>0</v>
      </c>
      <c r="U52" s="86">
        <v>0</v>
      </c>
      <c r="V52" s="86">
        <v>0</v>
      </c>
      <c r="W52" s="86">
        <v>0</v>
      </c>
      <c r="X52" s="86">
        <v>0</v>
      </c>
      <c r="Y52" s="86">
        <v>0</v>
      </c>
      <c r="Z52" s="86">
        <v>0</v>
      </c>
      <c r="AA52" s="86">
        <v>0</v>
      </c>
      <c r="AB52" s="88">
        <v>2020</v>
      </c>
    </row>
    <row r="53" spans="1:28" s="1" customFormat="1" ht="35.25" customHeight="1">
      <c r="A53" s="1">
        <v>1</v>
      </c>
      <c r="B53" s="38">
        <f>SUBTOTAL(103,$A$11:A53)</f>
        <v>41</v>
      </c>
      <c r="C53" s="82" t="s">
        <v>455</v>
      </c>
      <c r="D53" s="83">
        <f t="shared" si="3"/>
        <v>368373.54000000004</v>
      </c>
      <c r="E53" s="86">
        <v>175244.79</v>
      </c>
      <c r="F53" s="86">
        <v>193128.75</v>
      </c>
      <c r="G53" s="86">
        <v>0</v>
      </c>
      <c r="H53" s="86">
        <v>0</v>
      </c>
      <c r="I53" s="86">
        <v>0</v>
      </c>
      <c r="J53" s="86">
        <v>0</v>
      </c>
      <c r="K53" s="87">
        <v>0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6">
        <v>0</v>
      </c>
      <c r="Y53" s="86">
        <v>0</v>
      </c>
      <c r="Z53" s="86">
        <v>0</v>
      </c>
      <c r="AA53" s="86">
        <v>0</v>
      </c>
      <c r="AB53" s="88">
        <v>2020</v>
      </c>
    </row>
    <row r="54" spans="1:28" s="1" customFormat="1" ht="35.25" customHeight="1">
      <c r="A54" s="1">
        <v>1</v>
      </c>
      <c r="B54" s="38">
        <f>SUBTOTAL(103,$A$11:A54)</f>
        <v>42</v>
      </c>
      <c r="C54" s="82" t="s">
        <v>456</v>
      </c>
      <c r="D54" s="83">
        <f t="shared" si="3"/>
        <v>454448</v>
      </c>
      <c r="E54" s="86">
        <v>0</v>
      </c>
      <c r="F54" s="86">
        <v>0</v>
      </c>
      <c r="G54" s="86">
        <v>404448</v>
      </c>
      <c r="H54" s="86">
        <v>0</v>
      </c>
      <c r="I54" s="86">
        <v>0</v>
      </c>
      <c r="J54" s="86">
        <v>0</v>
      </c>
      <c r="K54" s="87">
        <v>0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6">
        <v>0</v>
      </c>
      <c r="Y54" s="86">
        <v>0</v>
      </c>
      <c r="Z54" s="86">
        <v>50000</v>
      </c>
      <c r="AA54" s="86">
        <v>0</v>
      </c>
      <c r="AB54" s="88">
        <v>2020</v>
      </c>
    </row>
    <row r="55" spans="1:28" s="1" customFormat="1" ht="35.25" customHeight="1">
      <c r="A55" s="1">
        <v>1</v>
      </c>
      <c r="B55" s="38">
        <f>SUBTOTAL(103,$A$11:A55)</f>
        <v>43</v>
      </c>
      <c r="C55" s="82" t="s">
        <v>457</v>
      </c>
      <c r="D55" s="83">
        <f t="shared" si="3"/>
        <v>1164297</v>
      </c>
      <c r="E55" s="86">
        <v>0</v>
      </c>
      <c r="F55" s="86">
        <v>0</v>
      </c>
      <c r="G55" s="86">
        <v>0</v>
      </c>
      <c r="H55" s="86">
        <v>0</v>
      </c>
      <c r="I55" s="86">
        <v>0</v>
      </c>
      <c r="J55" s="86">
        <v>0</v>
      </c>
      <c r="K55" s="87">
        <v>0</v>
      </c>
      <c r="L55" s="86">
        <v>0</v>
      </c>
      <c r="M55" s="86">
        <v>1164297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  <c r="X55" s="86">
        <v>0</v>
      </c>
      <c r="Y55" s="86">
        <v>0</v>
      </c>
      <c r="Z55" s="86">
        <v>0</v>
      </c>
      <c r="AA55" s="86">
        <v>0</v>
      </c>
      <c r="AB55" s="88">
        <v>2020</v>
      </c>
    </row>
    <row r="56" spans="1:28" s="1" customFormat="1" ht="35.25" customHeight="1">
      <c r="A56" s="1">
        <v>1</v>
      </c>
      <c r="B56" s="38">
        <f>SUBTOTAL(103,$A$11:A56)</f>
        <v>44</v>
      </c>
      <c r="C56" s="82" t="s">
        <v>458</v>
      </c>
      <c r="D56" s="83">
        <f t="shared" si="3"/>
        <v>2377591.96</v>
      </c>
      <c r="E56" s="86">
        <v>877591.96</v>
      </c>
      <c r="F56" s="86">
        <v>1500000</v>
      </c>
      <c r="G56" s="86">
        <v>0</v>
      </c>
      <c r="H56" s="86">
        <v>0</v>
      </c>
      <c r="I56" s="86">
        <v>0</v>
      </c>
      <c r="J56" s="86">
        <v>0</v>
      </c>
      <c r="K56" s="87">
        <v>0</v>
      </c>
      <c r="L56" s="86">
        <v>0</v>
      </c>
      <c r="M56" s="86">
        <v>0</v>
      </c>
      <c r="N56" s="86">
        <v>0</v>
      </c>
      <c r="O56" s="86">
        <v>0</v>
      </c>
      <c r="P56" s="86">
        <v>0</v>
      </c>
      <c r="Q56" s="86">
        <v>0</v>
      </c>
      <c r="R56" s="86">
        <v>0</v>
      </c>
      <c r="S56" s="86">
        <v>0</v>
      </c>
      <c r="T56" s="86">
        <v>0</v>
      </c>
      <c r="U56" s="86">
        <v>0</v>
      </c>
      <c r="V56" s="86">
        <v>0</v>
      </c>
      <c r="W56" s="86">
        <v>0</v>
      </c>
      <c r="X56" s="86">
        <v>0</v>
      </c>
      <c r="Y56" s="86">
        <v>0</v>
      </c>
      <c r="Z56" s="86">
        <v>0</v>
      </c>
      <c r="AA56" s="86">
        <v>0</v>
      </c>
      <c r="AB56" s="88">
        <v>2020</v>
      </c>
    </row>
    <row r="57" spans="1:28" s="1" customFormat="1" ht="35.25" customHeight="1">
      <c r="A57" s="1">
        <v>1</v>
      </c>
      <c r="B57" s="38">
        <f>SUBTOTAL(103,$A$11:A57)</f>
        <v>45</v>
      </c>
      <c r="C57" s="82" t="s">
        <v>459</v>
      </c>
      <c r="D57" s="83">
        <f t="shared" si="3"/>
        <v>659346.14</v>
      </c>
      <c r="E57" s="86">
        <v>0</v>
      </c>
      <c r="F57" s="86">
        <v>659346.14</v>
      </c>
      <c r="G57" s="86">
        <v>0</v>
      </c>
      <c r="H57" s="86">
        <v>0</v>
      </c>
      <c r="I57" s="86">
        <v>0</v>
      </c>
      <c r="J57" s="86">
        <v>0</v>
      </c>
      <c r="K57" s="87">
        <v>0</v>
      </c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86">
        <v>0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6">
        <v>0</v>
      </c>
      <c r="Y57" s="86">
        <v>0</v>
      </c>
      <c r="Z57" s="86">
        <v>0</v>
      </c>
      <c r="AA57" s="86">
        <v>0</v>
      </c>
      <c r="AB57" s="88">
        <v>2020</v>
      </c>
    </row>
    <row r="58" spans="1:28" s="1" customFormat="1" ht="35.25" customHeight="1">
      <c r="A58" s="1">
        <v>1</v>
      </c>
      <c r="B58" s="38">
        <f>SUBTOTAL(103,$A$11:A58)</f>
        <v>46</v>
      </c>
      <c r="C58" s="82" t="s">
        <v>460</v>
      </c>
      <c r="D58" s="83">
        <f t="shared" si="3"/>
        <v>441089</v>
      </c>
      <c r="E58" s="86">
        <v>0</v>
      </c>
      <c r="F58" s="86">
        <v>441089</v>
      </c>
      <c r="G58" s="86">
        <v>0</v>
      </c>
      <c r="H58" s="86">
        <v>0</v>
      </c>
      <c r="I58" s="86">
        <v>0</v>
      </c>
      <c r="J58" s="86">
        <v>0</v>
      </c>
      <c r="K58" s="87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8">
        <v>2020</v>
      </c>
    </row>
    <row r="59" spans="1:28" s="1" customFormat="1" ht="35.25" customHeight="1">
      <c r="A59" s="1">
        <v>1</v>
      </c>
      <c r="B59" s="38">
        <f>SUBTOTAL(103,$A$11:A59)</f>
        <v>47</v>
      </c>
      <c r="C59" s="82" t="s">
        <v>461</v>
      </c>
      <c r="D59" s="83">
        <f t="shared" si="3"/>
        <v>190756</v>
      </c>
      <c r="E59" s="86">
        <v>0</v>
      </c>
      <c r="F59" s="86">
        <v>0</v>
      </c>
      <c r="G59" s="86">
        <v>0</v>
      </c>
      <c r="H59" s="86">
        <v>0</v>
      </c>
      <c r="I59" s="86">
        <v>0</v>
      </c>
      <c r="J59" s="86">
        <v>0</v>
      </c>
      <c r="K59" s="87">
        <v>1</v>
      </c>
      <c r="L59" s="86">
        <v>190756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6">
        <v>0</v>
      </c>
      <c r="Y59" s="86">
        <v>0</v>
      </c>
      <c r="Z59" s="86">
        <v>0</v>
      </c>
      <c r="AA59" s="86">
        <v>0</v>
      </c>
      <c r="AB59" s="88">
        <v>2020</v>
      </c>
    </row>
    <row r="60" spans="1:28" s="1" customFormat="1" ht="35.25" customHeight="1">
      <c r="A60" s="1">
        <v>1</v>
      </c>
      <c r="B60" s="38">
        <f>SUBTOTAL(103,$A$11:A60)</f>
        <v>48</v>
      </c>
      <c r="C60" s="82" t="s">
        <v>462</v>
      </c>
      <c r="D60" s="83">
        <f t="shared" si="3"/>
        <v>141772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7">
        <v>0</v>
      </c>
      <c r="L60" s="86">
        <v>0</v>
      </c>
      <c r="M60" s="86">
        <v>0</v>
      </c>
      <c r="N60" s="86">
        <v>0</v>
      </c>
      <c r="O60" s="86">
        <v>141772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8">
        <v>2020</v>
      </c>
    </row>
    <row r="61" spans="1:28" s="1" customFormat="1" ht="35.25" customHeight="1">
      <c r="A61" s="1">
        <v>1</v>
      </c>
      <c r="B61" s="38">
        <f>SUBTOTAL(103,$A$11:A61)</f>
        <v>49</v>
      </c>
      <c r="C61" s="82" t="s">
        <v>463</v>
      </c>
      <c r="D61" s="83">
        <f t="shared" si="3"/>
        <v>32843</v>
      </c>
      <c r="E61" s="86">
        <v>0</v>
      </c>
      <c r="F61" s="86">
        <v>0</v>
      </c>
      <c r="G61" s="86">
        <v>0</v>
      </c>
      <c r="H61" s="86">
        <v>0</v>
      </c>
      <c r="I61" s="86">
        <v>0</v>
      </c>
      <c r="J61" s="86">
        <v>0</v>
      </c>
      <c r="K61" s="87">
        <v>0</v>
      </c>
      <c r="L61" s="86">
        <v>0</v>
      </c>
      <c r="M61" s="86">
        <v>0</v>
      </c>
      <c r="N61" s="86">
        <v>32843</v>
      </c>
      <c r="O61" s="86">
        <v>0</v>
      </c>
      <c r="P61" s="86">
        <v>0</v>
      </c>
      <c r="Q61" s="86">
        <v>0</v>
      </c>
      <c r="R61" s="86">
        <v>0</v>
      </c>
      <c r="S61" s="86">
        <v>0</v>
      </c>
      <c r="T61" s="86">
        <v>0</v>
      </c>
      <c r="U61" s="86">
        <v>0</v>
      </c>
      <c r="V61" s="86">
        <v>0</v>
      </c>
      <c r="W61" s="86">
        <v>0</v>
      </c>
      <c r="X61" s="86">
        <v>0</v>
      </c>
      <c r="Y61" s="86">
        <v>0</v>
      </c>
      <c r="Z61" s="86">
        <v>0</v>
      </c>
      <c r="AA61" s="86">
        <v>0</v>
      </c>
      <c r="AB61" s="88">
        <v>2020</v>
      </c>
    </row>
    <row r="62" spans="1:28" s="1" customFormat="1" ht="35.25" customHeight="1">
      <c r="A62" s="1">
        <v>1</v>
      </c>
      <c r="B62" s="38">
        <f>SUBTOTAL(103,$A$11:A62)</f>
        <v>50</v>
      </c>
      <c r="C62" s="82" t="s">
        <v>464</v>
      </c>
      <c r="D62" s="83">
        <f t="shared" si="3"/>
        <v>69666</v>
      </c>
      <c r="E62" s="86">
        <v>0</v>
      </c>
      <c r="F62" s="86">
        <v>0</v>
      </c>
      <c r="G62" s="86">
        <v>0</v>
      </c>
      <c r="H62" s="86">
        <v>0</v>
      </c>
      <c r="I62" s="86">
        <v>0</v>
      </c>
      <c r="J62" s="86">
        <v>0</v>
      </c>
      <c r="K62" s="87">
        <v>0</v>
      </c>
      <c r="L62" s="86">
        <v>0</v>
      </c>
      <c r="M62" s="86">
        <v>0</v>
      </c>
      <c r="N62" s="86">
        <v>69666</v>
      </c>
      <c r="O62" s="86">
        <v>0</v>
      </c>
      <c r="P62" s="86">
        <v>0</v>
      </c>
      <c r="Q62" s="86">
        <v>0</v>
      </c>
      <c r="R62" s="86">
        <v>0</v>
      </c>
      <c r="S62" s="86">
        <v>0</v>
      </c>
      <c r="T62" s="86">
        <v>0</v>
      </c>
      <c r="U62" s="86">
        <v>0</v>
      </c>
      <c r="V62" s="86">
        <v>0</v>
      </c>
      <c r="W62" s="86">
        <v>0</v>
      </c>
      <c r="X62" s="86">
        <v>0</v>
      </c>
      <c r="Y62" s="86">
        <v>0</v>
      </c>
      <c r="Z62" s="86">
        <v>0</v>
      </c>
      <c r="AA62" s="86">
        <v>0</v>
      </c>
      <c r="AB62" s="88">
        <v>2020</v>
      </c>
    </row>
    <row r="63" spans="1:28" s="1" customFormat="1" ht="35.25" customHeight="1">
      <c r="A63" s="1">
        <v>1</v>
      </c>
      <c r="B63" s="38">
        <f>SUBTOTAL(103,$A$11:A63)</f>
        <v>51</v>
      </c>
      <c r="C63" s="82" t="s">
        <v>465</v>
      </c>
      <c r="D63" s="83">
        <f t="shared" si="3"/>
        <v>452575.38</v>
      </c>
      <c r="E63" s="86">
        <v>222826.38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87">
        <v>0</v>
      </c>
      <c r="L63" s="86">
        <v>0</v>
      </c>
      <c r="M63" s="86">
        <v>0</v>
      </c>
      <c r="N63" s="86">
        <v>152567</v>
      </c>
      <c r="O63" s="86">
        <v>77182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6">
        <v>0</v>
      </c>
      <c r="Y63" s="86">
        <v>0</v>
      </c>
      <c r="Z63" s="86">
        <v>0</v>
      </c>
      <c r="AA63" s="86">
        <v>0</v>
      </c>
      <c r="AB63" s="88">
        <v>2020</v>
      </c>
    </row>
    <row r="64" spans="1:28" s="1" customFormat="1" ht="35.25" customHeight="1">
      <c r="A64" s="1">
        <v>1</v>
      </c>
      <c r="B64" s="38">
        <f>SUBTOTAL(103,$A$11:A64)</f>
        <v>52</v>
      </c>
      <c r="C64" s="82" t="s">
        <v>466</v>
      </c>
      <c r="D64" s="83">
        <f t="shared" si="3"/>
        <v>1654683.92</v>
      </c>
      <c r="E64" s="86">
        <v>0</v>
      </c>
      <c r="F64" s="86">
        <v>0</v>
      </c>
      <c r="G64" s="86">
        <v>0</v>
      </c>
      <c r="H64" s="86">
        <v>0</v>
      </c>
      <c r="I64" s="86">
        <v>0</v>
      </c>
      <c r="J64" s="86">
        <v>0</v>
      </c>
      <c r="K64" s="87">
        <v>0</v>
      </c>
      <c r="L64" s="86">
        <v>0</v>
      </c>
      <c r="M64" s="86">
        <v>1624695.92</v>
      </c>
      <c r="N64" s="86">
        <v>29988</v>
      </c>
      <c r="O64" s="86">
        <v>0</v>
      </c>
      <c r="P64" s="86">
        <v>0</v>
      </c>
      <c r="Q64" s="86">
        <v>0</v>
      </c>
      <c r="R64" s="86">
        <v>0</v>
      </c>
      <c r="S64" s="86">
        <v>0</v>
      </c>
      <c r="T64" s="86">
        <v>0</v>
      </c>
      <c r="U64" s="86">
        <v>0</v>
      </c>
      <c r="V64" s="86">
        <v>0</v>
      </c>
      <c r="W64" s="86">
        <v>0</v>
      </c>
      <c r="X64" s="86">
        <v>0</v>
      </c>
      <c r="Y64" s="86">
        <v>0</v>
      </c>
      <c r="Z64" s="86">
        <v>0</v>
      </c>
      <c r="AA64" s="86">
        <v>0</v>
      </c>
      <c r="AB64" s="88">
        <v>2020</v>
      </c>
    </row>
    <row r="65" spans="1:28" s="1" customFormat="1" ht="35.25" customHeight="1">
      <c r="A65" s="1">
        <v>1</v>
      </c>
      <c r="B65" s="38">
        <f>SUBTOTAL(103,$A$11:A65)</f>
        <v>53</v>
      </c>
      <c r="C65" s="82" t="s">
        <v>467</v>
      </c>
      <c r="D65" s="83">
        <f t="shared" si="3"/>
        <v>131422</v>
      </c>
      <c r="E65" s="86">
        <v>0</v>
      </c>
      <c r="F65" s="86">
        <v>0</v>
      </c>
      <c r="G65" s="86">
        <v>0</v>
      </c>
      <c r="H65" s="86">
        <v>0</v>
      </c>
      <c r="I65" s="86">
        <v>0</v>
      </c>
      <c r="J65" s="86">
        <v>0</v>
      </c>
      <c r="K65" s="87">
        <v>0</v>
      </c>
      <c r="L65" s="86">
        <v>0</v>
      </c>
      <c r="M65" s="86">
        <v>0</v>
      </c>
      <c r="N65" s="86">
        <v>0</v>
      </c>
      <c r="O65" s="86">
        <v>131422</v>
      </c>
      <c r="P65" s="86">
        <v>0</v>
      </c>
      <c r="Q65" s="86">
        <v>0</v>
      </c>
      <c r="R65" s="86">
        <v>0</v>
      </c>
      <c r="S65" s="86">
        <v>0</v>
      </c>
      <c r="T65" s="86">
        <v>0</v>
      </c>
      <c r="U65" s="86">
        <v>0</v>
      </c>
      <c r="V65" s="86">
        <v>0</v>
      </c>
      <c r="W65" s="86">
        <v>0</v>
      </c>
      <c r="X65" s="86">
        <v>0</v>
      </c>
      <c r="Y65" s="86">
        <v>0</v>
      </c>
      <c r="Z65" s="86">
        <v>0</v>
      </c>
      <c r="AA65" s="86">
        <v>0</v>
      </c>
      <c r="AB65" s="88">
        <v>2020</v>
      </c>
    </row>
    <row r="66" spans="1:28" s="1" customFormat="1" ht="35.25" customHeight="1">
      <c r="A66" s="1">
        <v>1</v>
      </c>
      <c r="B66" s="38">
        <f>SUBTOTAL(103,$A$11:A66)</f>
        <v>54</v>
      </c>
      <c r="C66" s="82" t="s">
        <v>468</v>
      </c>
      <c r="D66" s="83">
        <f t="shared" si="3"/>
        <v>232205.73</v>
      </c>
      <c r="E66" s="86">
        <v>0</v>
      </c>
      <c r="F66" s="86">
        <v>0</v>
      </c>
      <c r="G66" s="86">
        <v>0</v>
      </c>
      <c r="H66" s="86">
        <v>0</v>
      </c>
      <c r="I66" s="86">
        <v>0</v>
      </c>
      <c r="J66" s="86">
        <v>0</v>
      </c>
      <c r="K66" s="87">
        <v>0</v>
      </c>
      <c r="L66" s="86">
        <v>0</v>
      </c>
      <c r="M66" s="86">
        <v>0</v>
      </c>
      <c r="N66" s="86">
        <v>0</v>
      </c>
      <c r="O66" s="86">
        <v>232205.73</v>
      </c>
      <c r="P66" s="86">
        <v>0</v>
      </c>
      <c r="Q66" s="86">
        <v>0</v>
      </c>
      <c r="R66" s="86">
        <v>0</v>
      </c>
      <c r="S66" s="86">
        <v>0</v>
      </c>
      <c r="T66" s="86">
        <v>0</v>
      </c>
      <c r="U66" s="86">
        <v>0</v>
      </c>
      <c r="V66" s="86">
        <v>0</v>
      </c>
      <c r="W66" s="86">
        <v>0</v>
      </c>
      <c r="X66" s="86">
        <v>0</v>
      </c>
      <c r="Y66" s="86">
        <v>0</v>
      </c>
      <c r="Z66" s="86">
        <v>0</v>
      </c>
      <c r="AA66" s="86">
        <v>0</v>
      </c>
      <c r="AB66" s="88">
        <v>2020</v>
      </c>
    </row>
    <row r="67" spans="1:28" s="1" customFormat="1" ht="35.25" customHeight="1">
      <c r="A67" s="1">
        <v>1</v>
      </c>
      <c r="B67" s="38">
        <f>SUBTOTAL(103,$A$11:A67)</f>
        <v>55</v>
      </c>
      <c r="C67" s="82" t="s">
        <v>469</v>
      </c>
      <c r="D67" s="83">
        <f t="shared" si="3"/>
        <v>664946.64</v>
      </c>
      <c r="E67" s="86">
        <v>281247.58</v>
      </c>
      <c r="F67" s="86">
        <v>383699.06</v>
      </c>
      <c r="G67" s="86">
        <v>0</v>
      </c>
      <c r="H67" s="86">
        <v>0</v>
      </c>
      <c r="I67" s="86">
        <v>0</v>
      </c>
      <c r="J67" s="86">
        <v>0</v>
      </c>
      <c r="K67" s="87">
        <v>0</v>
      </c>
      <c r="L67" s="86">
        <v>0</v>
      </c>
      <c r="M67" s="86">
        <v>0</v>
      </c>
      <c r="N67" s="86">
        <v>0</v>
      </c>
      <c r="O67" s="86">
        <v>0</v>
      </c>
      <c r="P67" s="86">
        <v>0</v>
      </c>
      <c r="Q67" s="86">
        <v>0</v>
      </c>
      <c r="R67" s="86">
        <v>0</v>
      </c>
      <c r="S67" s="86">
        <v>0</v>
      </c>
      <c r="T67" s="86">
        <v>0</v>
      </c>
      <c r="U67" s="86">
        <v>0</v>
      </c>
      <c r="V67" s="86">
        <v>0</v>
      </c>
      <c r="W67" s="86">
        <v>0</v>
      </c>
      <c r="X67" s="86">
        <v>0</v>
      </c>
      <c r="Y67" s="86">
        <v>0</v>
      </c>
      <c r="Z67" s="86">
        <v>0</v>
      </c>
      <c r="AA67" s="86">
        <v>0</v>
      </c>
      <c r="AB67" s="88">
        <v>2020</v>
      </c>
    </row>
    <row r="68" spans="1:28" s="1" customFormat="1" ht="35.25" customHeight="1">
      <c r="A68" s="1">
        <v>1</v>
      </c>
      <c r="B68" s="38">
        <f>SUBTOTAL(103,$A$11:A68)</f>
        <v>56</v>
      </c>
      <c r="C68" s="82" t="s">
        <v>470</v>
      </c>
      <c r="D68" s="83">
        <f t="shared" si="3"/>
        <v>967198</v>
      </c>
      <c r="E68" s="86">
        <v>0</v>
      </c>
      <c r="F68" s="86">
        <v>0</v>
      </c>
      <c r="G68" s="86">
        <v>0</v>
      </c>
      <c r="H68" s="86">
        <v>0</v>
      </c>
      <c r="I68" s="86">
        <v>0</v>
      </c>
      <c r="J68" s="86">
        <v>0</v>
      </c>
      <c r="K68" s="87">
        <v>0</v>
      </c>
      <c r="L68" s="86">
        <v>0</v>
      </c>
      <c r="M68" s="86">
        <v>967198</v>
      </c>
      <c r="N68" s="86">
        <v>0</v>
      </c>
      <c r="O68" s="86">
        <v>0</v>
      </c>
      <c r="P68" s="86">
        <v>0</v>
      </c>
      <c r="Q68" s="86">
        <v>0</v>
      </c>
      <c r="R68" s="86">
        <v>0</v>
      </c>
      <c r="S68" s="86">
        <v>0</v>
      </c>
      <c r="T68" s="86">
        <v>0</v>
      </c>
      <c r="U68" s="86">
        <v>0</v>
      </c>
      <c r="V68" s="86">
        <v>0</v>
      </c>
      <c r="W68" s="86">
        <v>0</v>
      </c>
      <c r="X68" s="86">
        <v>0</v>
      </c>
      <c r="Y68" s="86">
        <v>0</v>
      </c>
      <c r="Z68" s="86">
        <v>0</v>
      </c>
      <c r="AA68" s="86">
        <v>0</v>
      </c>
      <c r="AB68" s="88">
        <v>2020</v>
      </c>
    </row>
    <row r="69" spans="1:28" s="1" customFormat="1" ht="35.25" customHeight="1">
      <c r="A69" s="1">
        <v>1</v>
      </c>
      <c r="B69" s="38">
        <f>SUBTOTAL(103,$A$11:A69)</f>
        <v>57</v>
      </c>
      <c r="C69" s="82" t="s">
        <v>471</v>
      </c>
      <c r="D69" s="83">
        <f t="shared" si="3"/>
        <v>1503268</v>
      </c>
      <c r="E69" s="86">
        <v>0</v>
      </c>
      <c r="F69" s="86">
        <v>0</v>
      </c>
      <c r="G69" s="86">
        <v>0</v>
      </c>
      <c r="H69" s="86">
        <v>0</v>
      </c>
      <c r="I69" s="86">
        <v>0</v>
      </c>
      <c r="J69" s="86">
        <v>0</v>
      </c>
      <c r="K69" s="87">
        <v>0</v>
      </c>
      <c r="L69" s="86">
        <v>0</v>
      </c>
      <c r="M69" s="86">
        <v>1503268</v>
      </c>
      <c r="N69" s="86">
        <v>0</v>
      </c>
      <c r="O69" s="86">
        <v>0</v>
      </c>
      <c r="P69" s="86">
        <v>0</v>
      </c>
      <c r="Q69" s="86">
        <v>0</v>
      </c>
      <c r="R69" s="86">
        <v>0</v>
      </c>
      <c r="S69" s="86">
        <v>0</v>
      </c>
      <c r="T69" s="86">
        <v>0</v>
      </c>
      <c r="U69" s="86">
        <v>0</v>
      </c>
      <c r="V69" s="86">
        <v>0</v>
      </c>
      <c r="W69" s="86">
        <v>0</v>
      </c>
      <c r="X69" s="86">
        <v>0</v>
      </c>
      <c r="Y69" s="86">
        <v>0</v>
      </c>
      <c r="Z69" s="86">
        <v>0</v>
      </c>
      <c r="AA69" s="86">
        <v>0</v>
      </c>
      <c r="AB69" s="88">
        <v>2020</v>
      </c>
    </row>
    <row r="70" spans="1:28" s="1" customFormat="1" ht="35.25" customHeight="1">
      <c r="A70" s="1">
        <v>1</v>
      </c>
      <c r="B70" s="38">
        <f>SUBTOTAL(103,$A$11:A70)</f>
        <v>58</v>
      </c>
      <c r="C70" s="82" t="s">
        <v>472</v>
      </c>
      <c r="D70" s="83">
        <f t="shared" si="3"/>
        <v>493206.56</v>
      </c>
      <c r="E70" s="86">
        <v>0</v>
      </c>
      <c r="F70" s="86">
        <v>0</v>
      </c>
      <c r="G70" s="86">
        <v>493206.56</v>
      </c>
      <c r="H70" s="86">
        <v>0</v>
      </c>
      <c r="I70" s="86">
        <v>0</v>
      </c>
      <c r="J70" s="86">
        <v>0</v>
      </c>
      <c r="K70" s="87">
        <v>0</v>
      </c>
      <c r="L70" s="86">
        <v>0</v>
      </c>
      <c r="M70" s="86">
        <v>0</v>
      </c>
      <c r="N70" s="86">
        <v>0</v>
      </c>
      <c r="O70" s="86">
        <v>0</v>
      </c>
      <c r="P70" s="86">
        <v>0</v>
      </c>
      <c r="Q70" s="86">
        <v>0</v>
      </c>
      <c r="R70" s="86">
        <v>0</v>
      </c>
      <c r="S70" s="86">
        <v>0</v>
      </c>
      <c r="T70" s="86">
        <v>0</v>
      </c>
      <c r="U70" s="86">
        <v>0</v>
      </c>
      <c r="V70" s="86">
        <v>0</v>
      </c>
      <c r="W70" s="86">
        <v>0</v>
      </c>
      <c r="X70" s="86">
        <v>0</v>
      </c>
      <c r="Y70" s="86">
        <v>0</v>
      </c>
      <c r="Z70" s="86">
        <v>0</v>
      </c>
      <c r="AA70" s="86">
        <v>0</v>
      </c>
      <c r="AB70" s="88">
        <v>2020</v>
      </c>
    </row>
    <row r="71" spans="1:28" s="1" customFormat="1" ht="35.25" customHeight="1">
      <c r="A71" s="1">
        <v>1</v>
      </c>
      <c r="B71" s="38">
        <f>SUBTOTAL(103,$A$11:A71)</f>
        <v>59</v>
      </c>
      <c r="C71" s="82" t="s">
        <v>473</v>
      </c>
      <c r="D71" s="83">
        <f t="shared" si="3"/>
        <v>685246.23</v>
      </c>
      <c r="E71" s="86">
        <v>0</v>
      </c>
      <c r="F71" s="86">
        <v>0</v>
      </c>
      <c r="G71" s="86">
        <v>0</v>
      </c>
      <c r="H71" s="86">
        <v>0</v>
      </c>
      <c r="I71" s="86">
        <v>0</v>
      </c>
      <c r="J71" s="86">
        <v>0</v>
      </c>
      <c r="K71" s="87">
        <v>0</v>
      </c>
      <c r="L71" s="86">
        <v>0</v>
      </c>
      <c r="M71" s="86">
        <v>0</v>
      </c>
      <c r="N71" s="86">
        <v>0</v>
      </c>
      <c r="O71" s="86">
        <f>265246.23+420000</f>
        <v>685246.23</v>
      </c>
      <c r="P71" s="86">
        <v>0</v>
      </c>
      <c r="Q71" s="86">
        <v>0</v>
      </c>
      <c r="R71" s="86">
        <v>0</v>
      </c>
      <c r="S71" s="86">
        <v>0</v>
      </c>
      <c r="T71" s="86">
        <v>0</v>
      </c>
      <c r="U71" s="86">
        <v>0</v>
      </c>
      <c r="V71" s="86">
        <v>0</v>
      </c>
      <c r="W71" s="86">
        <v>0</v>
      </c>
      <c r="X71" s="86">
        <v>0</v>
      </c>
      <c r="Y71" s="86">
        <v>0</v>
      </c>
      <c r="Z71" s="86">
        <v>0</v>
      </c>
      <c r="AA71" s="86">
        <v>0</v>
      </c>
      <c r="AB71" s="88">
        <v>2020</v>
      </c>
    </row>
    <row r="72" spans="1:28" s="1" customFormat="1" ht="35.25" customHeight="1">
      <c r="A72" s="1">
        <v>1</v>
      </c>
      <c r="B72" s="38">
        <f>SUBTOTAL(103,$A$11:A72)</f>
        <v>60</v>
      </c>
      <c r="C72" s="82" t="s">
        <v>474</v>
      </c>
      <c r="D72" s="83">
        <f t="shared" si="3"/>
        <v>1312347.23</v>
      </c>
      <c r="E72" s="86">
        <v>0</v>
      </c>
      <c r="F72" s="86">
        <v>0</v>
      </c>
      <c r="G72" s="86">
        <v>0</v>
      </c>
      <c r="H72" s="86">
        <v>0</v>
      </c>
      <c r="I72" s="86">
        <v>0</v>
      </c>
      <c r="J72" s="86">
        <v>0</v>
      </c>
      <c r="K72" s="87">
        <v>0</v>
      </c>
      <c r="L72" s="86">
        <v>0</v>
      </c>
      <c r="M72" s="86">
        <v>1312347.23</v>
      </c>
      <c r="N72" s="86">
        <v>0</v>
      </c>
      <c r="O72" s="86">
        <v>0</v>
      </c>
      <c r="P72" s="86">
        <v>0</v>
      </c>
      <c r="Q72" s="86">
        <v>0</v>
      </c>
      <c r="R72" s="86">
        <v>0</v>
      </c>
      <c r="S72" s="86">
        <v>0</v>
      </c>
      <c r="T72" s="86">
        <v>0</v>
      </c>
      <c r="U72" s="86">
        <v>0</v>
      </c>
      <c r="V72" s="86">
        <v>0</v>
      </c>
      <c r="W72" s="86">
        <v>0</v>
      </c>
      <c r="X72" s="86">
        <v>0</v>
      </c>
      <c r="Y72" s="86">
        <v>0</v>
      </c>
      <c r="Z72" s="86">
        <v>0</v>
      </c>
      <c r="AA72" s="86">
        <v>0</v>
      </c>
      <c r="AB72" s="88">
        <v>2020</v>
      </c>
    </row>
    <row r="73" spans="1:28" s="1" customFormat="1" ht="35.25" customHeight="1">
      <c r="A73" s="1">
        <v>1</v>
      </c>
      <c r="B73" s="38">
        <f>SUBTOTAL(103,$A$11:A73)</f>
        <v>61</v>
      </c>
      <c r="C73" s="82" t="s">
        <v>475</v>
      </c>
      <c r="D73" s="83">
        <f t="shared" si="3"/>
        <v>823785</v>
      </c>
      <c r="E73" s="86">
        <v>240259</v>
      </c>
      <c r="F73" s="86">
        <v>340000</v>
      </c>
      <c r="G73" s="86">
        <v>0</v>
      </c>
      <c r="H73" s="86">
        <v>243526</v>
      </c>
      <c r="I73" s="86">
        <v>0</v>
      </c>
      <c r="J73" s="86">
        <v>0</v>
      </c>
      <c r="K73" s="87">
        <v>0</v>
      </c>
      <c r="L73" s="86">
        <v>0</v>
      </c>
      <c r="M73" s="86">
        <v>0</v>
      </c>
      <c r="N73" s="86">
        <v>0</v>
      </c>
      <c r="O73" s="86">
        <v>0</v>
      </c>
      <c r="P73" s="86">
        <v>0</v>
      </c>
      <c r="Q73" s="86">
        <v>0</v>
      </c>
      <c r="R73" s="86">
        <v>0</v>
      </c>
      <c r="S73" s="86">
        <v>0</v>
      </c>
      <c r="T73" s="86">
        <v>0</v>
      </c>
      <c r="U73" s="86">
        <v>0</v>
      </c>
      <c r="V73" s="86">
        <v>0</v>
      </c>
      <c r="W73" s="86">
        <v>0</v>
      </c>
      <c r="X73" s="86">
        <v>0</v>
      </c>
      <c r="Y73" s="86">
        <v>0</v>
      </c>
      <c r="Z73" s="86">
        <v>0</v>
      </c>
      <c r="AA73" s="86">
        <v>0</v>
      </c>
      <c r="AB73" s="88">
        <v>2020</v>
      </c>
    </row>
    <row r="74" spans="1:28" s="1" customFormat="1" ht="35.25" customHeight="1">
      <c r="A74" s="1">
        <v>1</v>
      </c>
      <c r="B74" s="38">
        <f>SUBTOTAL(103,$A$11:A74)</f>
        <v>62</v>
      </c>
      <c r="C74" s="82" t="s">
        <v>476</v>
      </c>
      <c r="D74" s="83">
        <f t="shared" si="3"/>
        <v>1088631</v>
      </c>
      <c r="E74" s="86">
        <v>403161</v>
      </c>
      <c r="F74" s="86">
        <v>685470</v>
      </c>
      <c r="G74" s="86">
        <v>0</v>
      </c>
      <c r="H74" s="86">
        <v>0</v>
      </c>
      <c r="I74" s="86">
        <v>0</v>
      </c>
      <c r="J74" s="86">
        <v>0</v>
      </c>
      <c r="K74" s="87">
        <v>0</v>
      </c>
      <c r="L74" s="86">
        <v>0</v>
      </c>
      <c r="M74" s="86">
        <v>0</v>
      </c>
      <c r="N74" s="86">
        <v>0</v>
      </c>
      <c r="O74" s="86">
        <v>0</v>
      </c>
      <c r="P74" s="86">
        <v>0</v>
      </c>
      <c r="Q74" s="86">
        <v>0</v>
      </c>
      <c r="R74" s="86">
        <v>0</v>
      </c>
      <c r="S74" s="86">
        <v>0</v>
      </c>
      <c r="T74" s="86">
        <v>0</v>
      </c>
      <c r="U74" s="86">
        <v>0</v>
      </c>
      <c r="V74" s="86">
        <v>0</v>
      </c>
      <c r="W74" s="86">
        <v>0</v>
      </c>
      <c r="X74" s="86">
        <v>0</v>
      </c>
      <c r="Y74" s="86">
        <v>0</v>
      </c>
      <c r="Z74" s="86">
        <v>0</v>
      </c>
      <c r="AA74" s="86">
        <v>0</v>
      </c>
      <c r="AB74" s="88">
        <v>2020</v>
      </c>
    </row>
    <row r="75" spans="1:28" s="1" customFormat="1" ht="35.25" customHeight="1">
      <c r="A75" s="1">
        <v>1</v>
      </c>
      <c r="B75" s="38">
        <f>SUBTOTAL(103,$A$11:A75)</f>
        <v>63</v>
      </c>
      <c r="C75" s="82" t="s">
        <v>477</v>
      </c>
      <c r="D75" s="83">
        <f t="shared" si="3"/>
        <v>246963</v>
      </c>
      <c r="E75" s="86">
        <v>0</v>
      </c>
      <c r="F75" s="86">
        <v>246963</v>
      </c>
      <c r="G75" s="86">
        <v>0</v>
      </c>
      <c r="H75" s="86">
        <v>0</v>
      </c>
      <c r="I75" s="86">
        <v>0</v>
      </c>
      <c r="J75" s="86">
        <v>0</v>
      </c>
      <c r="K75" s="87">
        <v>0</v>
      </c>
      <c r="L75" s="86">
        <v>0</v>
      </c>
      <c r="M75" s="86">
        <v>0</v>
      </c>
      <c r="N75" s="86">
        <v>0</v>
      </c>
      <c r="O75" s="86">
        <v>0</v>
      </c>
      <c r="P75" s="86">
        <v>0</v>
      </c>
      <c r="Q75" s="86">
        <v>0</v>
      </c>
      <c r="R75" s="86">
        <v>0</v>
      </c>
      <c r="S75" s="86">
        <v>0</v>
      </c>
      <c r="T75" s="86">
        <v>0</v>
      </c>
      <c r="U75" s="86">
        <v>0</v>
      </c>
      <c r="V75" s="86">
        <v>0</v>
      </c>
      <c r="W75" s="86">
        <v>0</v>
      </c>
      <c r="X75" s="86">
        <v>0</v>
      </c>
      <c r="Y75" s="86">
        <v>0</v>
      </c>
      <c r="Z75" s="86">
        <v>0</v>
      </c>
      <c r="AA75" s="86">
        <v>0</v>
      </c>
      <c r="AB75" s="88">
        <v>2020</v>
      </c>
    </row>
    <row r="76" spans="1:28" s="1" customFormat="1" ht="35.25" customHeight="1">
      <c r="A76" s="1">
        <v>1</v>
      </c>
      <c r="B76" s="38">
        <f>SUBTOTAL(103,$A$11:A76)</f>
        <v>64</v>
      </c>
      <c r="C76" s="82" t="s">
        <v>478</v>
      </c>
      <c r="D76" s="83">
        <f t="shared" si="3"/>
        <v>1291286</v>
      </c>
      <c r="E76" s="86">
        <v>0</v>
      </c>
      <c r="F76" s="86">
        <v>0</v>
      </c>
      <c r="G76" s="86">
        <v>0</v>
      </c>
      <c r="H76" s="86">
        <v>0</v>
      </c>
      <c r="I76" s="86">
        <v>0</v>
      </c>
      <c r="J76" s="86">
        <v>0</v>
      </c>
      <c r="K76" s="87">
        <v>0</v>
      </c>
      <c r="L76" s="86">
        <v>0</v>
      </c>
      <c r="M76" s="86">
        <v>1291286</v>
      </c>
      <c r="N76" s="86">
        <v>0</v>
      </c>
      <c r="O76" s="86">
        <v>0</v>
      </c>
      <c r="P76" s="86">
        <v>0</v>
      </c>
      <c r="Q76" s="86">
        <v>0</v>
      </c>
      <c r="R76" s="86">
        <v>0</v>
      </c>
      <c r="S76" s="86">
        <v>0</v>
      </c>
      <c r="T76" s="86">
        <v>0</v>
      </c>
      <c r="U76" s="86">
        <v>0</v>
      </c>
      <c r="V76" s="86">
        <v>0</v>
      </c>
      <c r="W76" s="86">
        <v>0</v>
      </c>
      <c r="X76" s="86">
        <v>0</v>
      </c>
      <c r="Y76" s="86">
        <v>0</v>
      </c>
      <c r="Z76" s="86">
        <v>0</v>
      </c>
      <c r="AA76" s="86">
        <v>0</v>
      </c>
      <c r="AB76" s="88">
        <v>2020</v>
      </c>
    </row>
    <row r="77" spans="1:28" s="1" customFormat="1" ht="35.25" customHeight="1">
      <c r="A77" s="1">
        <v>1</v>
      </c>
      <c r="B77" s="38">
        <f>SUBTOTAL(103,$A$11:A77)</f>
        <v>65</v>
      </c>
      <c r="C77" s="82" t="s">
        <v>479</v>
      </c>
      <c r="D77" s="83">
        <f t="shared" si="3"/>
        <v>543017.86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87">
        <v>0</v>
      </c>
      <c r="L77" s="86">
        <v>0</v>
      </c>
      <c r="M77" s="86">
        <v>0</v>
      </c>
      <c r="N77" s="86">
        <v>0</v>
      </c>
      <c r="O77" s="86">
        <v>543017.86</v>
      </c>
      <c r="P77" s="86">
        <v>0</v>
      </c>
      <c r="Q77" s="86">
        <v>0</v>
      </c>
      <c r="R77" s="86">
        <v>0</v>
      </c>
      <c r="S77" s="86">
        <v>0</v>
      </c>
      <c r="T77" s="86">
        <v>0</v>
      </c>
      <c r="U77" s="86">
        <v>0</v>
      </c>
      <c r="V77" s="86">
        <v>0</v>
      </c>
      <c r="W77" s="86">
        <v>0</v>
      </c>
      <c r="X77" s="86">
        <v>0</v>
      </c>
      <c r="Y77" s="86">
        <v>0</v>
      </c>
      <c r="Z77" s="86">
        <v>0</v>
      </c>
      <c r="AA77" s="86">
        <v>0</v>
      </c>
      <c r="AB77" s="88">
        <v>2020</v>
      </c>
    </row>
    <row r="78" spans="1:28" s="1" customFormat="1" ht="35.25" customHeight="1">
      <c r="A78" s="1">
        <v>1</v>
      </c>
      <c r="B78" s="38">
        <f>SUBTOTAL(103,$A$11:A78)</f>
        <v>66</v>
      </c>
      <c r="C78" s="82" t="s">
        <v>480</v>
      </c>
      <c r="D78" s="83">
        <f t="shared" si="3"/>
        <v>866755.67</v>
      </c>
      <c r="E78" s="86">
        <v>179437.21</v>
      </c>
      <c r="F78" s="86">
        <v>297679.21000000002</v>
      </c>
      <c r="G78" s="86">
        <v>0</v>
      </c>
      <c r="H78" s="86">
        <v>0</v>
      </c>
      <c r="I78" s="86">
        <v>0</v>
      </c>
      <c r="J78" s="86">
        <v>0</v>
      </c>
      <c r="K78" s="87">
        <v>0</v>
      </c>
      <c r="L78" s="86">
        <v>0</v>
      </c>
      <c r="M78" s="86">
        <v>0</v>
      </c>
      <c r="N78" s="86">
        <v>0</v>
      </c>
      <c r="O78" s="86">
        <v>389639.25</v>
      </c>
      <c r="P78" s="86">
        <v>0</v>
      </c>
      <c r="Q78" s="86">
        <v>0</v>
      </c>
      <c r="R78" s="86">
        <v>0</v>
      </c>
      <c r="S78" s="86">
        <v>0</v>
      </c>
      <c r="T78" s="86">
        <v>0</v>
      </c>
      <c r="U78" s="86">
        <v>0</v>
      </c>
      <c r="V78" s="86">
        <v>0</v>
      </c>
      <c r="W78" s="86">
        <v>0</v>
      </c>
      <c r="X78" s="86">
        <v>0</v>
      </c>
      <c r="Y78" s="86">
        <v>0</v>
      </c>
      <c r="Z78" s="86">
        <v>0</v>
      </c>
      <c r="AA78" s="86">
        <v>0</v>
      </c>
      <c r="AB78" s="88">
        <v>2020</v>
      </c>
    </row>
    <row r="79" spans="1:28" s="1" customFormat="1" ht="35.25" customHeight="1">
      <c r="A79" s="1">
        <v>1</v>
      </c>
      <c r="B79" s="38">
        <f>SUBTOTAL(103,$A$11:A79)</f>
        <v>67</v>
      </c>
      <c r="C79" s="91" t="s">
        <v>584</v>
      </c>
      <c r="D79" s="83">
        <v>1468076</v>
      </c>
      <c r="E79" s="89">
        <v>0</v>
      </c>
      <c r="F79" s="89">
        <v>0</v>
      </c>
      <c r="G79" s="89">
        <v>0</v>
      </c>
      <c r="H79" s="89">
        <v>0</v>
      </c>
      <c r="I79" s="89">
        <v>0</v>
      </c>
      <c r="J79" s="89">
        <v>0</v>
      </c>
      <c r="K79" s="90">
        <v>0</v>
      </c>
      <c r="L79" s="89">
        <v>0</v>
      </c>
      <c r="M79" s="89">
        <v>1468076</v>
      </c>
      <c r="N79" s="89">
        <v>0</v>
      </c>
      <c r="O79" s="89">
        <v>0</v>
      </c>
      <c r="P79" s="89">
        <v>0</v>
      </c>
      <c r="Q79" s="89">
        <v>0</v>
      </c>
      <c r="R79" s="89">
        <v>0</v>
      </c>
      <c r="S79" s="89">
        <v>0</v>
      </c>
      <c r="T79" s="89">
        <v>0</v>
      </c>
      <c r="U79" s="89">
        <v>0</v>
      </c>
      <c r="V79" s="89">
        <v>0</v>
      </c>
      <c r="W79" s="89">
        <v>0</v>
      </c>
      <c r="X79" s="89">
        <v>0</v>
      </c>
      <c r="Y79" s="89">
        <v>0</v>
      </c>
      <c r="Z79" s="89">
        <v>0</v>
      </c>
      <c r="AA79" s="89">
        <v>0</v>
      </c>
      <c r="AB79" s="88">
        <v>2020</v>
      </c>
    </row>
    <row r="80" spans="1:28" s="1" customFormat="1" ht="35.25" customHeight="1">
      <c r="A80" s="1">
        <v>1</v>
      </c>
      <c r="B80" s="38">
        <f>SUBTOTAL(103,$A$11:A80)</f>
        <v>68</v>
      </c>
      <c r="C80" s="91" t="s">
        <v>585</v>
      </c>
      <c r="D80" s="83">
        <v>364586</v>
      </c>
      <c r="E80" s="89">
        <v>0</v>
      </c>
      <c r="F80" s="89">
        <v>0</v>
      </c>
      <c r="G80" s="89">
        <v>0</v>
      </c>
      <c r="H80" s="89">
        <v>0</v>
      </c>
      <c r="I80" s="89">
        <v>0</v>
      </c>
      <c r="J80" s="89">
        <v>0</v>
      </c>
      <c r="K80" s="90">
        <v>0</v>
      </c>
      <c r="L80" s="89">
        <v>0</v>
      </c>
      <c r="M80" s="89">
        <v>0</v>
      </c>
      <c r="N80" s="89">
        <v>0</v>
      </c>
      <c r="O80" s="89">
        <v>364586</v>
      </c>
      <c r="P80" s="89">
        <v>0</v>
      </c>
      <c r="Q80" s="89">
        <v>0</v>
      </c>
      <c r="R80" s="89">
        <v>0</v>
      </c>
      <c r="S80" s="89">
        <v>0</v>
      </c>
      <c r="T80" s="89">
        <v>0</v>
      </c>
      <c r="U80" s="89">
        <v>0</v>
      </c>
      <c r="V80" s="89">
        <v>0</v>
      </c>
      <c r="W80" s="89">
        <v>0</v>
      </c>
      <c r="X80" s="89">
        <v>0</v>
      </c>
      <c r="Y80" s="89">
        <v>0</v>
      </c>
      <c r="Z80" s="89">
        <v>0</v>
      </c>
      <c r="AA80" s="89">
        <v>0</v>
      </c>
      <c r="AB80" s="88">
        <v>2020</v>
      </c>
    </row>
    <row r="81" spans="1:28" s="1" customFormat="1" ht="35.25" customHeight="1">
      <c r="A81" s="1">
        <v>1</v>
      </c>
      <c r="B81" s="38">
        <f>SUBTOTAL(103,$A$11:A81)</f>
        <v>69</v>
      </c>
      <c r="C81" s="91" t="s">
        <v>586</v>
      </c>
      <c r="D81" s="83">
        <v>216731.11</v>
      </c>
      <c r="E81" s="89">
        <v>0</v>
      </c>
      <c r="F81" s="89">
        <v>216731.11</v>
      </c>
      <c r="G81" s="89">
        <v>0</v>
      </c>
      <c r="H81" s="89">
        <v>0</v>
      </c>
      <c r="I81" s="89">
        <v>0</v>
      </c>
      <c r="J81" s="89">
        <v>0</v>
      </c>
      <c r="K81" s="90">
        <v>0</v>
      </c>
      <c r="L81" s="89">
        <v>0</v>
      </c>
      <c r="M81" s="89">
        <v>0</v>
      </c>
      <c r="N81" s="89">
        <v>0</v>
      </c>
      <c r="O81" s="89">
        <v>0</v>
      </c>
      <c r="P81" s="89">
        <v>0</v>
      </c>
      <c r="Q81" s="89">
        <v>0</v>
      </c>
      <c r="R81" s="89">
        <v>0</v>
      </c>
      <c r="S81" s="89">
        <v>0</v>
      </c>
      <c r="T81" s="89">
        <v>0</v>
      </c>
      <c r="U81" s="89">
        <v>0</v>
      </c>
      <c r="V81" s="89">
        <v>0</v>
      </c>
      <c r="W81" s="89">
        <v>0</v>
      </c>
      <c r="X81" s="89">
        <v>0</v>
      </c>
      <c r="Y81" s="89">
        <v>0</v>
      </c>
      <c r="Z81" s="89">
        <v>0</v>
      </c>
      <c r="AA81" s="89">
        <v>0</v>
      </c>
      <c r="AB81" s="88">
        <v>2020</v>
      </c>
    </row>
    <row r="82" spans="1:28" s="1" customFormat="1" ht="35.25" customHeight="1">
      <c r="A82" s="1">
        <v>1</v>
      </c>
      <c r="B82" s="38">
        <f>SUBTOTAL(103,$A$11:A82)</f>
        <v>70</v>
      </c>
      <c r="C82" s="91" t="s">
        <v>587</v>
      </c>
      <c r="D82" s="83">
        <v>610300</v>
      </c>
      <c r="E82" s="89">
        <v>0</v>
      </c>
      <c r="F82" s="89">
        <v>0</v>
      </c>
      <c r="G82" s="89">
        <v>0</v>
      </c>
      <c r="H82" s="89">
        <v>0</v>
      </c>
      <c r="I82" s="89">
        <v>0</v>
      </c>
      <c r="J82" s="89">
        <v>0</v>
      </c>
      <c r="K82" s="90">
        <v>0</v>
      </c>
      <c r="L82" s="89">
        <v>0</v>
      </c>
      <c r="M82" s="89">
        <v>0</v>
      </c>
      <c r="N82" s="89">
        <v>0</v>
      </c>
      <c r="O82" s="89">
        <v>610300</v>
      </c>
      <c r="P82" s="89">
        <v>0</v>
      </c>
      <c r="Q82" s="89">
        <v>0</v>
      </c>
      <c r="R82" s="89">
        <v>0</v>
      </c>
      <c r="S82" s="89">
        <v>0</v>
      </c>
      <c r="T82" s="89">
        <v>0</v>
      </c>
      <c r="U82" s="89">
        <v>0</v>
      </c>
      <c r="V82" s="89">
        <v>0</v>
      </c>
      <c r="W82" s="89">
        <v>0</v>
      </c>
      <c r="X82" s="89">
        <v>0</v>
      </c>
      <c r="Y82" s="89">
        <v>0</v>
      </c>
      <c r="Z82" s="89">
        <v>0</v>
      </c>
      <c r="AA82" s="89">
        <v>0</v>
      </c>
      <c r="AB82" s="88">
        <v>2020</v>
      </c>
    </row>
    <row r="83" spans="1:28" s="1" customFormat="1" ht="35.25" customHeight="1">
      <c r="A83" s="1">
        <v>1</v>
      </c>
      <c r="B83" s="38">
        <f>SUBTOTAL(103,$A$11:A83)</f>
        <v>71</v>
      </c>
      <c r="C83" s="91" t="s">
        <v>588</v>
      </c>
      <c r="D83" s="83">
        <v>57079.75</v>
      </c>
      <c r="E83" s="89">
        <v>0</v>
      </c>
      <c r="F83" s="89">
        <v>57079.75</v>
      </c>
      <c r="G83" s="89">
        <v>0</v>
      </c>
      <c r="H83" s="89">
        <v>0</v>
      </c>
      <c r="I83" s="89">
        <v>0</v>
      </c>
      <c r="J83" s="89">
        <v>0</v>
      </c>
      <c r="K83" s="90">
        <v>0</v>
      </c>
      <c r="L83" s="89">
        <v>0</v>
      </c>
      <c r="M83" s="89">
        <v>0</v>
      </c>
      <c r="N83" s="89">
        <v>0</v>
      </c>
      <c r="O83" s="89">
        <v>0</v>
      </c>
      <c r="P83" s="89">
        <v>0</v>
      </c>
      <c r="Q83" s="89">
        <v>0</v>
      </c>
      <c r="R83" s="89">
        <v>0</v>
      </c>
      <c r="S83" s="89">
        <v>0</v>
      </c>
      <c r="T83" s="89">
        <v>0</v>
      </c>
      <c r="U83" s="89">
        <v>0</v>
      </c>
      <c r="V83" s="89">
        <v>0</v>
      </c>
      <c r="W83" s="89">
        <v>0</v>
      </c>
      <c r="X83" s="89">
        <v>0</v>
      </c>
      <c r="Y83" s="89">
        <v>0</v>
      </c>
      <c r="Z83" s="89">
        <v>0</v>
      </c>
      <c r="AA83" s="89">
        <v>0</v>
      </c>
      <c r="AB83" s="88">
        <v>2020</v>
      </c>
    </row>
    <row r="84" spans="1:28" s="1" customFormat="1" ht="35.25" customHeight="1">
      <c r="A84" s="1">
        <v>1</v>
      </c>
      <c r="B84" s="38">
        <f>SUBTOTAL(103,$A$11:A84)</f>
        <v>72</v>
      </c>
      <c r="C84" s="91" t="s">
        <v>589</v>
      </c>
      <c r="D84" s="83">
        <v>1394395.75</v>
      </c>
      <c r="E84" s="89">
        <v>0</v>
      </c>
      <c r="F84" s="89">
        <v>0</v>
      </c>
      <c r="G84" s="89">
        <v>0</v>
      </c>
      <c r="H84" s="89">
        <v>0</v>
      </c>
      <c r="I84" s="89">
        <v>0</v>
      </c>
      <c r="J84" s="89">
        <v>0</v>
      </c>
      <c r="K84" s="90">
        <v>0</v>
      </c>
      <c r="L84" s="89">
        <v>0</v>
      </c>
      <c r="M84" s="89">
        <v>1394395.75</v>
      </c>
      <c r="N84" s="89">
        <v>0</v>
      </c>
      <c r="O84" s="89">
        <v>0</v>
      </c>
      <c r="P84" s="89">
        <v>0</v>
      </c>
      <c r="Q84" s="89">
        <v>0</v>
      </c>
      <c r="R84" s="89">
        <v>0</v>
      </c>
      <c r="S84" s="89">
        <v>0</v>
      </c>
      <c r="T84" s="89">
        <v>0</v>
      </c>
      <c r="U84" s="89">
        <v>0</v>
      </c>
      <c r="V84" s="89">
        <v>0</v>
      </c>
      <c r="W84" s="89">
        <v>0</v>
      </c>
      <c r="X84" s="89">
        <v>0</v>
      </c>
      <c r="Y84" s="89">
        <v>0</v>
      </c>
      <c r="Z84" s="89">
        <v>0</v>
      </c>
      <c r="AA84" s="89">
        <v>0</v>
      </c>
      <c r="AB84" s="88">
        <v>2020</v>
      </c>
    </row>
    <row r="85" spans="1:28" s="1" customFormat="1" ht="35.25" customHeight="1">
      <c r="A85" s="1">
        <v>1</v>
      </c>
      <c r="B85" s="38">
        <f>SUBTOTAL(103,$A$11:A85)</f>
        <v>73</v>
      </c>
      <c r="C85" s="91" t="s">
        <v>590</v>
      </c>
      <c r="D85" s="83">
        <v>592148.92000000004</v>
      </c>
      <c r="E85" s="89">
        <v>592148.92000000004</v>
      </c>
      <c r="F85" s="89">
        <v>0</v>
      </c>
      <c r="G85" s="89">
        <v>0</v>
      </c>
      <c r="H85" s="89">
        <v>0</v>
      </c>
      <c r="I85" s="89">
        <v>0</v>
      </c>
      <c r="J85" s="89">
        <v>0</v>
      </c>
      <c r="K85" s="90">
        <v>0</v>
      </c>
      <c r="L85" s="89">
        <v>0</v>
      </c>
      <c r="M85" s="89">
        <v>0</v>
      </c>
      <c r="N85" s="89">
        <v>0</v>
      </c>
      <c r="O85" s="89">
        <v>0</v>
      </c>
      <c r="P85" s="89">
        <v>0</v>
      </c>
      <c r="Q85" s="89">
        <v>0</v>
      </c>
      <c r="R85" s="89">
        <v>0</v>
      </c>
      <c r="S85" s="89">
        <v>0</v>
      </c>
      <c r="T85" s="89">
        <v>0</v>
      </c>
      <c r="U85" s="89">
        <v>0</v>
      </c>
      <c r="V85" s="89">
        <v>0</v>
      </c>
      <c r="W85" s="89">
        <v>0</v>
      </c>
      <c r="X85" s="89">
        <v>0</v>
      </c>
      <c r="Y85" s="89">
        <v>0</v>
      </c>
      <c r="Z85" s="89">
        <v>0</v>
      </c>
      <c r="AA85" s="89">
        <v>0</v>
      </c>
      <c r="AB85" s="88">
        <v>2020</v>
      </c>
    </row>
    <row r="86" spans="1:28" s="1" customFormat="1" ht="35.25" customHeight="1">
      <c r="A86" s="1">
        <v>1</v>
      </c>
      <c r="B86" s="38">
        <f>SUBTOTAL(103,$A$11:A86)</f>
        <v>74</v>
      </c>
      <c r="C86" s="91" t="s">
        <v>591</v>
      </c>
      <c r="D86" s="83">
        <v>3000000</v>
      </c>
      <c r="E86" s="89">
        <v>0</v>
      </c>
      <c r="F86" s="89">
        <v>0</v>
      </c>
      <c r="G86" s="89">
        <v>0</v>
      </c>
      <c r="H86" s="89">
        <v>0</v>
      </c>
      <c r="I86" s="89">
        <v>0</v>
      </c>
      <c r="J86" s="89">
        <v>0</v>
      </c>
      <c r="K86" s="90">
        <v>0</v>
      </c>
      <c r="L86" s="89">
        <v>0</v>
      </c>
      <c r="M86" s="89">
        <v>3000000</v>
      </c>
      <c r="N86" s="89">
        <v>0</v>
      </c>
      <c r="O86" s="89">
        <v>0</v>
      </c>
      <c r="P86" s="89">
        <v>0</v>
      </c>
      <c r="Q86" s="89">
        <v>0</v>
      </c>
      <c r="R86" s="89">
        <v>0</v>
      </c>
      <c r="S86" s="89">
        <v>0</v>
      </c>
      <c r="T86" s="89">
        <v>0</v>
      </c>
      <c r="U86" s="89">
        <v>0</v>
      </c>
      <c r="V86" s="89">
        <v>0</v>
      </c>
      <c r="W86" s="89">
        <v>0</v>
      </c>
      <c r="X86" s="89">
        <v>0</v>
      </c>
      <c r="Y86" s="89">
        <v>0</v>
      </c>
      <c r="Z86" s="89">
        <v>0</v>
      </c>
      <c r="AA86" s="89">
        <v>0</v>
      </c>
      <c r="AB86" s="88">
        <v>2020</v>
      </c>
    </row>
    <row r="87" spans="1:28" s="1" customFormat="1" ht="35.25" customHeight="1">
      <c r="A87" s="1">
        <v>1</v>
      </c>
      <c r="B87" s="38">
        <f>SUBTOTAL(103,$A$11:A87)</f>
        <v>75</v>
      </c>
      <c r="C87" s="91" t="s">
        <v>592</v>
      </c>
      <c r="D87" s="83">
        <v>1004458</v>
      </c>
      <c r="E87" s="89">
        <v>0</v>
      </c>
      <c r="F87" s="89">
        <v>0</v>
      </c>
      <c r="G87" s="89">
        <v>0</v>
      </c>
      <c r="H87" s="89">
        <v>0</v>
      </c>
      <c r="I87" s="89">
        <v>0</v>
      </c>
      <c r="J87" s="89">
        <v>0</v>
      </c>
      <c r="K87" s="90">
        <v>0</v>
      </c>
      <c r="L87" s="89">
        <v>0</v>
      </c>
      <c r="M87" s="89">
        <v>1004458</v>
      </c>
      <c r="N87" s="89">
        <v>0</v>
      </c>
      <c r="O87" s="89">
        <v>0</v>
      </c>
      <c r="P87" s="89">
        <v>0</v>
      </c>
      <c r="Q87" s="89">
        <v>0</v>
      </c>
      <c r="R87" s="89">
        <v>0</v>
      </c>
      <c r="S87" s="89">
        <v>0</v>
      </c>
      <c r="T87" s="89">
        <v>0</v>
      </c>
      <c r="U87" s="89">
        <v>0</v>
      </c>
      <c r="V87" s="89">
        <v>0</v>
      </c>
      <c r="W87" s="89">
        <v>0</v>
      </c>
      <c r="X87" s="89">
        <v>0</v>
      </c>
      <c r="Y87" s="89">
        <v>0</v>
      </c>
      <c r="Z87" s="89">
        <v>0</v>
      </c>
      <c r="AA87" s="89">
        <v>0</v>
      </c>
      <c r="AB87" s="88">
        <v>2020</v>
      </c>
    </row>
    <row r="88" spans="1:28" s="1" customFormat="1" ht="35.25" customHeight="1">
      <c r="A88" s="1">
        <v>1</v>
      </c>
      <c r="B88" s="38">
        <f>SUBTOTAL(103,$A$11:A88)</f>
        <v>76</v>
      </c>
      <c r="C88" s="91" t="s">
        <v>593</v>
      </c>
      <c r="D88" s="83">
        <v>897668.63</v>
      </c>
      <c r="E88" s="89">
        <v>0</v>
      </c>
      <c r="F88" s="89">
        <v>0</v>
      </c>
      <c r="G88" s="89">
        <v>0</v>
      </c>
      <c r="H88" s="89">
        <v>0</v>
      </c>
      <c r="I88" s="89">
        <v>0</v>
      </c>
      <c r="J88" s="89">
        <v>0</v>
      </c>
      <c r="K88" s="90">
        <v>0</v>
      </c>
      <c r="L88" s="89">
        <v>0</v>
      </c>
      <c r="M88" s="89">
        <v>811166.63</v>
      </c>
      <c r="N88" s="89">
        <v>0</v>
      </c>
      <c r="O88" s="89">
        <v>86502</v>
      </c>
      <c r="P88" s="89">
        <v>0</v>
      </c>
      <c r="Q88" s="89">
        <v>0</v>
      </c>
      <c r="R88" s="89">
        <v>0</v>
      </c>
      <c r="S88" s="89">
        <v>0</v>
      </c>
      <c r="T88" s="89">
        <v>0</v>
      </c>
      <c r="U88" s="89">
        <v>0</v>
      </c>
      <c r="V88" s="89">
        <v>0</v>
      </c>
      <c r="W88" s="89">
        <v>0</v>
      </c>
      <c r="X88" s="89">
        <v>0</v>
      </c>
      <c r="Y88" s="89">
        <v>0</v>
      </c>
      <c r="Z88" s="89">
        <v>0</v>
      </c>
      <c r="AA88" s="89">
        <v>0</v>
      </c>
      <c r="AB88" s="88">
        <v>2020</v>
      </c>
    </row>
    <row r="89" spans="1:28" s="1" customFormat="1" ht="35.25" customHeight="1">
      <c r="A89" s="1">
        <v>1</v>
      </c>
      <c r="B89" s="38">
        <f>SUBTOTAL(103,$A$11:A89)</f>
        <v>77</v>
      </c>
      <c r="C89" s="91" t="s">
        <v>594</v>
      </c>
      <c r="D89" s="83">
        <v>1450004</v>
      </c>
      <c r="E89" s="89">
        <v>0</v>
      </c>
      <c r="F89" s="89">
        <v>0</v>
      </c>
      <c r="G89" s="89">
        <v>0</v>
      </c>
      <c r="H89" s="89">
        <v>0</v>
      </c>
      <c r="I89" s="89">
        <v>0</v>
      </c>
      <c r="J89" s="89">
        <v>0</v>
      </c>
      <c r="K89" s="90">
        <v>0</v>
      </c>
      <c r="L89" s="89">
        <v>0</v>
      </c>
      <c r="M89" s="89">
        <v>1450004</v>
      </c>
      <c r="N89" s="89">
        <v>0</v>
      </c>
      <c r="O89" s="89">
        <v>0</v>
      </c>
      <c r="P89" s="89">
        <v>0</v>
      </c>
      <c r="Q89" s="89">
        <v>0</v>
      </c>
      <c r="R89" s="89">
        <v>0</v>
      </c>
      <c r="S89" s="89">
        <v>0</v>
      </c>
      <c r="T89" s="89">
        <v>0</v>
      </c>
      <c r="U89" s="89">
        <v>0</v>
      </c>
      <c r="V89" s="89">
        <v>0</v>
      </c>
      <c r="W89" s="89">
        <v>0</v>
      </c>
      <c r="X89" s="89">
        <v>0</v>
      </c>
      <c r="Y89" s="89">
        <v>0</v>
      </c>
      <c r="Z89" s="89">
        <v>0</v>
      </c>
      <c r="AA89" s="89">
        <v>0</v>
      </c>
      <c r="AB89" s="88">
        <v>2020</v>
      </c>
    </row>
    <row r="90" spans="1:28" s="1" customFormat="1" ht="35.25" customHeight="1">
      <c r="A90" s="1">
        <v>1</v>
      </c>
      <c r="B90" s="38">
        <f>SUBTOTAL(103,$A$11:A90)</f>
        <v>78</v>
      </c>
      <c r="C90" s="91" t="s">
        <v>595</v>
      </c>
      <c r="D90" s="83">
        <v>448868</v>
      </c>
      <c r="E90" s="89">
        <v>130822</v>
      </c>
      <c r="F90" s="89">
        <v>130822</v>
      </c>
      <c r="G90" s="89">
        <v>0</v>
      </c>
      <c r="H90" s="89">
        <v>0</v>
      </c>
      <c r="I90" s="89">
        <v>0</v>
      </c>
      <c r="J90" s="89">
        <v>0</v>
      </c>
      <c r="K90" s="90">
        <v>0</v>
      </c>
      <c r="L90" s="89">
        <v>0</v>
      </c>
      <c r="M90" s="89">
        <v>0</v>
      </c>
      <c r="N90" s="89">
        <v>0</v>
      </c>
      <c r="O90" s="89">
        <v>187224</v>
      </c>
      <c r="P90" s="89">
        <v>0</v>
      </c>
      <c r="Q90" s="89">
        <v>0</v>
      </c>
      <c r="R90" s="89">
        <v>0</v>
      </c>
      <c r="S90" s="89">
        <v>0</v>
      </c>
      <c r="T90" s="89">
        <v>0</v>
      </c>
      <c r="U90" s="89">
        <v>0</v>
      </c>
      <c r="V90" s="89">
        <v>0</v>
      </c>
      <c r="W90" s="89">
        <v>0</v>
      </c>
      <c r="X90" s="89">
        <v>0</v>
      </c>
      <c r="Y90" s="89">
        <v>0</v>
      </c>
      <c r="Z90" s="89">
        <v>0</v>
      </c>
      <c r="AA90" s="89">
        <v>0</v>
      </c>
      <c r="AB90" s="88">
        <v>2020</v>
      </c>
    </row>
    <row r="91" spans="1:28" s="1" customFormat="1" ht="35.25" customHeight="1">
      <c r="A91" s="1">
        <v>1</v>
      </c>
      <c r="B91" s="38">
        <f>SUBTOTAL(103,$A$11:A91)</f>
        <v>79</v>
      </c>
      <c r="C91" s="91" t="s">
        <v>596</v>
      </c>
      <c r="D91" s="83">
        <v>1111226.33</v>
      </c>
      <c r="E91" s="89">
        <v>0</v>
      </c>
      <c r="F91" s="89">
        <v>0</v>
      </c>
      <c r="G91" s="89">
        <v>0</v>
      </c>
      <c r="H91" s="89">
        <v>0</v>
      </c>
      <c r="I91" s="89">
        <v>0</v>
      </c>
      <c r="J91" s="89">
        <v>0</v>
      </c>
      <c r="K91" s="90">
        <v>0</v>
      </c>
      <c r="L91" s="89">
        <v>0</v>
      </c>
      <c r="M91" s="89">
        <v>1111226.33</v>
      </c>
      <c r="N91" s="89">
        <v>0</v>
      </c>
      <c r="O91" s="89">
        <v>0</v>
      </c>
      <c r="P91" s="89">
        <v>0</v>
      </c>
      <c r="Q91" s="89">
        <v>0</v>
      </c>
      <c r="R91" s="89">
        <v>0</v>
      </c>
      <c r="S91" s="89">
        <v>0</v>
      </c>
      <c r="T91" s="89">
        <v>0</v>
      </c>
      <c r="U91" s="89">
        <v>0</v>
      </c>
      <c r="V91" s="89">
        <v>0</v>
      </c>
      <c r="W91" s="89">
        <v>0</v>
      </c>
      <c r="X91" s="89">
        <v>0</v>
      </c>
      <c r="Y91" s="89">
        <v>0</v>
      </c>
      <c r="Z91" s="89">
        <v>0</v>
      </c>
      <c r="AA91" s="89">
        <v>0</v>
      </c>
      <c r="AB91" s="88">
        <v>2020</v>
      </c>
    </row>
    <row r="92" spans="1:28" s="1" customFormat="1" ht="35.25" customHeight="1">
      <c r="A92" s="1">
        <v>1</v>
      </c>
      <c r="B92" s="38">
        <f>SUBTOTAL(103,$A$11:A92)</f>
        <v>80</v>
      </c>
      <c r="C92" s="91" t="s">
        <v>597</v>
      </c>
      <c r="D92" s="83">
        <v>252000</v>
      </c>
      <c r="E92" s="89">
        <v>0</v>
      </c>
      <c r="F92" s="89">
        <v>0</v>
      </c>
      <c r="G92" s="89">
        <v>0</v>
      </c>
      <c r="H92" s="89">
        <v>0</v>
      </c>
      <c r="I92" s="89">
        <v>0</v>
      </c>
      <c r="J92" s="89">
        <v>0</v>
      </c>
      <c r="K92" s="90">
        <v>0</v>
      </c>
      <c r="L92" s="89">
        <v>0</v>
      </c>
      <c r="M92" s="89">
        <v>0</v>
      </c>
      <c r="N92" s="89">
        <v>0</v>
      </c>
      <c r="O92" s="89">
        <v>252000</v>
      </c>
      <c r="P92" s="89">
        <v>0</v>
      </c>
      <c r="Q92" s="89">
        <v>0</v>
      </c>
      <c r="R92" s="89">
        <v>0</v>
      </c>
      <c r="S92" s="89">
        <v>0</v>
      </c>
      <c r="T92" s="89">
        <v>0</v>
      </c>
      <c r="U92" s="89">
        <v>0</v>
      </c>
      <c r="V92" s="89">
        <v>0</v>
      </c>
      <c r="W92" s="89">
        <v>0</v>
      </c>
      <c r="X92" s="89">
        <v>0</v>
      </c>
      <c r="Y92" s="89">
        <v>0</v>
      </c>
      <c r="Z92" s="89">
        <v>0</v>
      </c>
      <c r="AA92" s="89">
        <v>0</v>
      </c>
      <c r="AB92" s="88">
        <v>2020</v>
      </c>
    </row>
    <row r="93" spans="1:28" s="1" customFormat="1" ht="35.25" customHeight="1">
      <c r="A93" s="1">
        <v>1</v>
      </c>
      <c r="B93" s="38">
        <f>SUBTOTAL(103,$A$11:A93)</f>
        <v>81</v>
      </c>
      <c r="C93" s="91" t="s">
        <v>598</v>
      </c>
      <c r="D93" s="83">
        <v>1736821</v>
      </c>
      <c r="E93" s="89">
        <v>0</v>
      </c>
      <c r="F93" s="89">
        <v>0</v>
      </c>
      <c r="G93" s="89">
        <v>0</v>
      </c>
      <c r="H93" s="89">
        <v>0</v>
      </c>
      <c r="I93" s="89">
        <v>0</v>
      </c>
      <c r="J93" s="89">
        <v>0</v>
      </c>
      <c r="K93" s="90">
        <v>0</v>
      </c>
      <c r="L93" s="89">
        <v>0</v>
      </c>
      <c r="M93" s="89">
        <v>1736821</v>
      </c>
      <c r="N93" s="89">
        <v>0</v>
      </c>
      <c r="O93" s="89">
        <v>0</v>
      </c>
      <c r="P93" s="89">
        <v>0</v>
      </c>
      <c r="Q93" s="89">
        <v>0</v>
      </c>
      <c r="R93" s="89">
        <v>0</v>
      </c>
      <c r="S93" s="89">
        <v>0</v>
      </c>
      <c r="T93" s="89">
        <v>0</v>
      </c>
      <c r="U93" s="89">
        <v>0</v>
      </c>
      <c r="V93" s="89">
        <v>0</v>
      </c>
      <c r="W93" s="89">
        <v>0</v>
      </c>
      <c r="X93" s="89">
        <v>0</v>
      </c>
      <c r="Y93" s="89">
        <v>0</v>
      </c>
      <c r="Z93" s="89">
        <v>0</v>
      </c>
      <c r="AA93" s="89">
        <v>0</v>
      </c>
      <c r="AB93" s="88">
        <v>2020</v>
      </c>
    </row>
    <row r="94" spans="1:28" s="1" customFormat="1" ht="35.25" customHeight="1">
      <c r="A94" s="1">
        <v>1</v>
      </c>
      <c r="B94" s="38">
        <f>SUBTOTAL(103,$A$11:A94)</f>
        <v>82</v>
      </c>
      <c r="C94" s="91" t="s">
        <v>599</v>
      </c>
      <c r="D94" s="83">
        <v>1164297</v>
      </c>
      <c r="E94" s="89">
        <v>0</v>
      </c>
      <c r="F94" s="89">
        <v>0</v>
      </c>
      <c r="G94" s="89">
        <v>0</v>
      </c>
      <c r="H94" s="89">
        <v>0</v>
      </c>
      <c r="I94" s="89">
        <v>0</v>
      </c>
      <c r="J94" s="89">
        <v>0</v>
      </c>
      <c r="K94" s="90">
        <v>0</v>
      </c>
      <c r="L94" s="89">
        <v>0</v>
      </c>
      <c r="M94" s="89">
        <v>1164297</v>
      </c>
      <c r="N94" s="89">
        <v>0</v>
      </c>
      <c r="O94" s="89">
        <v>0</v>
      </c>
      <c r="P94" s="89">
        <v>0</v>
      </c>
      <c r="Q94" s="89">
        <v>0</v>
      </c>
      <c r="R94" s="89">
        <v>0</v>
      </c>
      <c r="S94" s="89">
        <v>0</v>
      </c>
      <c r="T94" s="89">
        <v>0</v>
      </c>
      <c r="U94" s="89">
        <v>0</v>
      </c>
      <c r="V94" s="89">
        <v>0</v>
      </c>
      <c r="W94" s="89">
        <v>0</v>
      </c>
      <c r="X94" s="89">
        <v>0</v>
      </c>
      <c r="Y94" s="89">
        <v>0</v>
      </c>
      <c r="Z94" s="89">
        <v>0</v>
      </c>
      <c r="AA94" s="89">
        <v>0</v>
      </c>
      <c r="AB94" s="88">
        <v>2020</v>
      </c>
    </row>
    <row r="95" spans="1:28" s="1" customFormat="1" ht="35.25" customHeight="1">
      <c r="A95" s="1">
        <v>1</v>
      </c>
      <c r="B95" s="38">
        <f>SUBTOTAL(103,$A$11:A95)</f>
        <v>83</v>
      </c>
      <c r="C95" s="91" t="s">
        <v>600</v>
      </c>
      <c r="D95" s="83">
        <v>1475513.91</v>
      </c>
      <c r="E95" s="89">
        <v>0</v>
      </c>
      <c r="F95" s="89">
        <v>0</v>
      </c>
      <c r="G95" s="89">
        <v>0</v>
      </c>
      <c r="H95" s="89">
        <v>0</v>
      </c>
      <c r="I95" s="89">
        <v>0</v>
      </c>
      <c r="J95" s="89">
        <v>0</v>
      </c>
      <c r="K95" s="90">
        <v>0</v>
      </c>
      <c r="L95" s="89">
        <v>0</v>
      </c>
      <c r="M95" s="89">
        <v>1475513.91</v>
      </c>
      <c r="N95" s="89">
        <v>0</v>
      </c>
      <c r="O95" s="89">
        <v>0</v>
      </c>
      <c r="P95" s="89">
        <v>0</v>
      </c>
      <c r="Q95" s="89">
        <v>0</v>
      </c>
      <c r="R95" s="89">
        <v>0</v>
      </c>
      <c r="S95" s="89">
        <v>0</v>
      </c>
      <c r="T95" s="89">
        <v>0</v>
      </c>
      <c r="U95" s="89">
        <v>0</v>
      </c>
      <c r="V95" s="89">
        <v>0</v>
      </c>
      <c r="W95" s="89">
        <v>0</v>
      </c>
      <c r="X95" s="89">
        <v>0</v>
      </c>
      <c r="Y95" s="89">
        <v>0</v>
      </c>
      <c r="Z95" s="89">
        <v>0</v>
      </c>
      <c r="AA95" s="89">
        <v>0</v>
      </c>
      <c r="AB95" s="88">
        <v>2020</v>
      </c>
    </row>
    <row r="96" spans="1:28" s="1" customFormat="1" ht="35.25" customHeight="1">
      <c r="A96" s="1">
        <v>1</v>
      </c>
      <c r="B96" s="38">
        <f>SUBTOTAL(103,$A$11:A96)</f>
        <v>84</v>
      </c>
      <c r="C96" s="91" t="s">
        <v>601</v>
      </c>
      <c r="D96" s="83">
        <v>256701.14</v>
      </c>
      <c r="E96" s="89">
        <v>0</v>
      </c>
      <c r="F96" s="89">
        <v>0</v>
      </c>
      <c r="G96" s="89">
        <v>0</v>
      </c>
      <c r="H96" s="89">
        <v>0</v>
      </c>
      <c r="I96" s="89">
        <v>0</v>
      </c>
      <c r="J96" s="89">
        <v>0</v>
      </c>
      <c r="K96" s="90">
        <v>0</v>
      </c>
      <c r="L96" s="89">
        <v>0</v>
      </c>
      <c r="M96" s="89">
        <v>0</v>
      </c>
      <c r="N96" s="89">
        <v>0</v>
      </c>
      <c r="O96" s="89">
        <v>256701.14</v>
      </c>
      <c r="P96" s="89">
        <v>0</v>
      </c>
      <c r="Q96" s="89">
        <v>0</v>
      </c>
      <c r="R96" s="89">
        <v>0</v>
      </c>
      <c r="S96" s="89">
        <v>0</v>
      </c>
      <c r="T96" s="89">
        <v>0</v>
      </c>
      <c r="U96" s="89">
        <v>0</v>
      </c>
      <c r="V96" s="89">
        <v>0</v>
      </c>
      <c r="W96" s="89">
        <v>0</v>
      </c>
      <c r="X96" s="89">
        <v>0</v>
      </c>
      <c r="Y96" s="89">
        <v>0</v>
      </c>
      <c r="Z96" s="89">
        <v>0</v>
      </c>
      <c r="AA96" s="89">
        <v>0</v>
      </c>
      <c r="AB96" s="88">
        <v>2020</v>
      </c>
    </row>
    <row r="97" spans="1:28" s="1" customFormat="1" ht="35.25" customHeight="1">
      <c r="A97" s="1">
        <v>1</v>
      </c>
      <c r="B97" s="38">
        <f>SUBTOTAL(103,$A$11:A97)</f>
        <v>85</v>
      </c>
      <c r="C97" s="91" t="s">
        <v>602</v>
      </c>
      <c r="D97" s="83">
        <v>428327</v>
      </c>
      <c r="E97" s="89">
        <v>0</v>
      </c>
      <c r="F97" s="89">
        <v>0</v>
      </c>
      <c r="G97" s="89">
        <v>0</v>
      </c>
      <c r="H97" s="89">
        <v>0</v>
      </c>
      <c r="I97" s="89">
        <v>0</v>
      </c>
      <c r="J97" s="89">
        <v>0</v>
      </c>
      <c r="K97" s="90">
        <v>0</v>
      </c>
      <c r="L97" s="89">
        <v>0</v>
      </c>
      <c r="M97" s="89">
        <v>0</v>
      </c>
      <c r="N97" s="89">
        <v>35600</v>
      </c>
      <c r="O97" s="89">
        <v>392727</v>
      </c>
      <c r="P97" s="89">
        <v>0</v>
      </c>
      <c r="Q97" s="89">
        <v>0</v>
      </c>
      <c r="R97" s="89">
        <v>0</v>
      </c>
      <c r="S97" s="89">
        <v>0</v>
      </c>
      <c r="T97" s="89">
        <v>0</v>
      </c>
      <c r="U97" s="89">
        <v>0</v>
      </c>
      <c r="V97" s="89">
        <v>0</v>
      </c>
      <c r="W97" s="89">
        <v>0</v>
      </c>
      <c r="X97" s="89">
        <v>0</v>
      </c>
      <c r="Y97" s="89">
        <v>0</v>
      </c>
      <c r="Z97" s="89">
        <v>0</v>
      </c>
      <c r="AA97" s="89">
        <v>0</v>
      </c>
      <c r="AB97" s="88">
        <v>2020</v>
      </c>
    </row>
    <row r="98" spans="1:28" s="1" customFormat="1" ht="35.25" customHeight="1">
      <c r="A98" s="1">
        <v>1</v>
      </c>
      <c r="B98" s="38">
        <f>SUBTOTAL(103,$A$11:A98)</f>
        <v>86</v>
      </c>
      <c r="C98" s="91" t="s">
        <v>603</v>
      </c>
      <c r="D98" s="83">
        <v>351887.78</v>
      </c>
      <c r="E98" s="89">
        <v>0</v>
      </c>
      <c r="F98" s="89">
        <v>0</v>
      </c>
      <c r="G98" s="89">
        <v>351887.78</v>
      </c>
      <c r="H98" s="89">
        <v>0</v>
      </c>
      <c r="I98" s="89">
        <v>0</v>
      </c>
      <c r="J98" s="89">
        <v>0</v>
      </c>
      <c r="K98" s="90">
        <v>0</v>
      </c>
      <c r="L98" s="89">
        <v>0</v>
      </c>
      <c r="M98" s="89">
        <v>0</v>
      </c>
      <c r="N98" s="89">
        <v>0</v>
      </c>
      <c r="O98" s="89">
        <v>0</v>
      </c>
      <c r="P98" s="89">
        <v>0</v>
      </c>
      <c r="Q98" s="89">
        <v>0</v>
      </c>
      <c r="R98" s="89">
        <v>0</v>
      </c>
      <c r="S98" s="89">
        <v>0</v>
      </c>
      <c r="T98" s="89">
        <v>0</v>
      </c>
      <c r="U98" s="89">
        <v>0</v>
      </c>
      <c r="V98" s="89">
        <v>0</v>
      </c>
      <c r="W98" s="89">
        <v>0</v>
      </c>
      <c r="X98" s="89">
        <v>0</v>
      </c>
      <c r="Y98" s="89">
        <v>0</v>
      </c>
      <c r="Z98" s="89">
        <v>0</v>
      </c>
      <c r="AA98" s="89">
        <v>0</v>
      </c>
      <c r="AB98" s="88">
        <v>2020</v>
      </c>
    </row>
    <row r="99" spans="1:28" s="1" customFormat="1" ht="35.25" customHeight="1">
      <c r="A99" s="1">
        <v>1</v>
      </c>
      <c r="B99" s="38">
        <f>SUBTOTAL(103,$A$11:A99)</f>
        <v>87</v>
      </c>
      <c r="C99" s="91" t="s">
        <v>604</v>
      </c>
      <c r="D99" s="83">
        <v>459499</v>
      </c>
      <c r="E99" s="89">
        <v>0</v>
      </c>
      <c r="F99" s="89">
        <v>370499</v>
      </c>
      <c r="G99" s="89">
        <v>0</v>
      </c>
      <c r="H99" s="89">
        <v>0</v>
      </c>
      <c r="I99" s="89">
        <v>0</v>
      </c>
      <c r="J99" s="89">
        <v>0</v>
      </c>
      <c r="K99" s="90">
        <v>0</v>
      </c>
      <c r="L99" s="89">
        <v>0</v>
      </c>
      <c r="M99" s="89">
        <v>0</v>
      </c>
      <c r="N99" s="89">
        <v>0</v>
      </c>
      <c r="O99" s="89">
        <v>0</v>
      </c>
      <c r="P99" s="89">
        <v>0</v>
      </c>
      <c r="Q99" s="89">
        <v>0</v>
      </c>
      <c r="R99" s="89">
        <v>0</v>
      </c>
      <c r="S99" s="89">
        <v>0</v>
      </c>
      <c r="T99" s="89">
        <v>0</v>
      </c>
      <c r="U99" s="89">
        <v>0</v>
      </c>
      <c r="V99" s="89">
        <v>0</v>
      </c>
      <c r="W99" s="89">
        <v>0</v>
      </c>
      <c r="X99" s="89">
        <v>0</v>
      </c>
      <c r="Y99" s="89">
        <v>0</v>
      </c>
      <c r="Z99" s="89">
        <v>89000</v>
      </c>
      <c r="AA99" s="89">
        <v>0</v>
      </c>
      <c r="AB99" s="88">
        <v>2020</v>
      </c>
    </row>
    <row r="100" spans="1:28" s="1" customFormat="1" ht="35.25" customHeight="1">
      <c r="A100" s="1">
        <v>1</v>
      </c>
      <c r="B100" s="38">
        <f>SUBTOTAL(103,$A$11:A100)</f>
        <v>88</v>
      </c>
      <c r="C100" s="91" t="s">
        <v>605</v>
      </c>
      <c r="D100" s="83">
        <v>349658</v>
      </c>
      <c r="E100" s="89">
        <v>0</v>
      </c>
      <c r="F100" s="89">
        <v>0</v>
      </c>
      <c r="G100" s="89">
        <v>0</v>
      </c>
      <c r="H100" s="89">
        <v>0</v>
      </c>
      <c r="I100" s="89">
        <v>0</v>
      </c>
      <c r="J100" s="89">
        <v>0</v>
      </c>
      <c r="K100" s="90">
        <v>0</v>
      </c>
      <c r="L100" s="89">
        <v>0</v>
      </c>
      <c r="M100" s="89">
        <v>349658</v>
      </c>
      <c r="N100" s="89">
        <v>0</v>
      </c>
      <c r="O100" s="89">
        <v>0</v>
      </c>
      <c r="P100" s="89">
        <v>0</v>
      </c>
      <c r="Q100" s="89">
        <v>0</v>
      </c>
      <c r="R100" s="89">
        <v>0</v>
      </c>
      <c r="S100" s="89">
        <v>0</v>
      </c>
      <c r="T100" s="89">
        <v>0</v>
      </c>
      <c r="U100" s="89">
        <v>0</v>
      </c>
      <c r="V100" s="89">
        <v>0</v>
      </c>
      <c r="W100" s="89">
        <v>0</v>
      </c>
      <c r="X100" s="89">
        <v>0</v>
      </c>
      <c r="Y100" s="89">
        <v>0</v>
      </c>
      <c r="Z100" s="89">
        <v>0</v>
      </c>
      <c r="AA100" s="89">
        <v>0</v>
      </c>
      <c r="AB100" s="88">
        <v>2020</v>
      </c>
    </row>
    <row r="101" spans="1:28" s="1" customFormat="1" ht="35.25" customHeight="1">
      <c r="A101" s="1">
        <v>1</v>
      </c>
      <c r="B101" s="38">
        <f>SUBTOTAL(103,$A$11:A101)</f>
        <v>89</v>
      </c>
      <c r="C101" s="91" t="s">
        <v>606</v>
      </c>
      <c r="D101" s="83">
        <v>883385</v>
      </c>
      <c r="E101" s="89">
        <v>0</v>
      </c>
      <c r="F101" s="89">
        <v>0</v>
      </c>
      <c r="G101" s="89">
        <v>0</v>
      </c>
      <c r="H101" s="89">
        <v>0</v>
      </c>
      <c r="I101" s="89">
        <v>883385</v>
      </c>
      <c r="J101" s="89">
        <v>0</v>
      </c>
      <c r="K101" s="90">
        <v>0</v>
      </c>
      <c r="L101" s="89">
        <v>0</v>
      </c>
      <c r="M101" s="89">
        <v>0</v>
      </c>
      <c r="N101" s="89">
        <v>0</v>
      </c>
      <c r="O101" s="89">
        <v>0</v>
      </c>
      <c r="P101" s="89">
        <v>0</v>
      </c>
      <c r="Q101" s="89">
        <v>0</v>
      </c>
      <c r="R101" s="89">
        <v>0</v>
      </c>
      <c r="S101" s="89">
        <v>0</v>
      </c>
      <c r="T101" s="89">
        <v>0</v>
      </c>
      <c r="U101" s="89">
        <v>0</v>
      </c>
      <c r="V101" s="89">
        <v>0</v>
      </c>
      <c r="W101" s="89">
        <v>0</v>
      </c>
      <c r="X101" s="89">
        <v>0</v>
      </c>
      <c r="Y101" s="89">
        <v>0</v>
      </c>
      <c r="Z101" s="89">
        <v>0</v>
      </c>
      <c r="AA101" s="89">
        <v>0</v>
      </c>
      <c r="AB101" s="88">
        <v>2020</v>
      </c>
    </row>
    <row r="102" spans="1:28" s="1" customFormat="1" ht="35.25" customHeight="1">
      <c r="A102" s="1">
        <v>1</v>
      </c>
      <c r="B102" s="38">
        <f>SUBTOTAL(103,$A$11:A102)</f>
        <v>90</v>
      </c>
      <c r="C102" s="91" t="s">
        <v>607</v>
      </c>
      <c r="D102" s="83">
        <v>1287000</v>
      </c>
      <c r="E102" s="89">
        <v>0</v>
      </c>
      <c r="F102" s="89">
        <v>0</v>
      </c>
      <c r="G102" s="89">
        <v>0</v>
      </c>
      <c r="H102" s="89">
        <v>0</v>
      </c>
      <c r="I102" s="89">
        <v>0</v>
      </c>
      <c r="J102" s="89">
        <v>0</v>
      </c>
      <c r="K102" s="90">
        <v>0</v>
      </c>
      <c r="L102" s="89">
        <v>0</v>
      </c>
      <c r="M102" s="89">
        <v>1287000</v>
      </c>
      <c r="N102" s="89">
        <v>0</v>
      </c>
      <c r="O102" s="89">
        <v>0</v>
      </c>
      <c r="P102" s="89">
        <v>0</v>
      </c>
      <c r="Q102" s="89">
        <v>0</v>
      </c>
      <c r="R102" s="89">
        <v>0</v>
      </c>
      <c r="S102" s="89">
        <v>0</v>
      </c>
      <c r="T102" s="89">
        <v>0</v>
      </c>
      <c r="U102" s="89">
        <v>0</v>
      </c>
      <c r="V102" s="89">
        <v>0</v>
      </c>
      <c r="W102" s="89">
        <v>0</v>
      </c>
      <c r="X102" s="89">
        <v>0</v>
      </c>
      <c r="Y102" s="89">
        <v>0</v>
      </c>
      <c r="Z102" s="89">
        <v>0</v>
      </c>
      <c r="AA102" s="89">
        <v>0</v>
      </c>
      <c r="AB102" s="88">
        <v>2020</v>
      </c>
    </row>
    <row r="103" spans="1:28" s="1" customFormat="1" ht="35.25" customHeight="1">
      <c r="A103" s="1">
        <v>1</v>
      </c>
      <c r="B103" s="38">
        <f>SUBTOTAL(103,$A$11:A103)</f>
        <v>91</v>
      </c>
      <c r="C103" s="91" t="s">
        <v>608</v>
      </c>
      <c r="D103" s="83">
        <v>1372008</v>
      </c>
      <c r="E103" s="89">
        <v>0</v>
      </c>
      <c r="F103" s="89">
        <v>0</v>
      </c>
      <c r="G103" s="89">
        <v>0</v>
      </c>
      <c r="H103" s="89">
        <v>0</v>
      </c>
      <c r="I103" s="89">
        <v>0</v>
      </c>
      <c r="J103" s="89">
        <v>0</v>
      </c>
      <c r="K103" s="90">
        <v>0</v>
      </c>
      <c r="L103" s="89">
        <v>0</v>
      </c>
      <c r="M103" s="89">
        <v>0</v>
      </c>
      <c r="N103" s="89">
        <v>0</v>
      </c>
      <c r="O103" s="89">
        <v>1372008</v>
      </c>
      <c r="P103" s="89">
        <v>0</v>
      </c>
      <c r="Q103" s="89">
        <v>0</v>
      </c>
      <c r="R103" s="89">
        <v>0</v>
      </c>
      <c r="S103" s="89">
        <v>0</v>
      </c>
      <c r="T103" s="89">
        <v>0</v>
      </c>
      <c r="U103" s="89">
        <v>0</v>
      </c>
      <c r="V103" s="89">
        <v>0</v>
      </c>
      <c r="W103" s="89">
        <v>0</v>
      </c>
      <c r="X103" s="89">
        <v>0</v>
      </c>
      <c r="Y103" s="89">
        <v>0</v>
      </c>
      <c r="Z103" s="89">
        <v>0</v>
      </c>
      <c r="AA103" s="89">
        <v>0</v>
      </c>
      <c r="AB103" s="88">
        <v>2020</v>
      </c>
    </row>
    <row r="104" spans="1:28" s="1" customFormat="1" ht="35.25" customHeight="1">
      <c r="A104" s="1">
        <v>1</v>
      </c>
      <c r="B104" s="38">
        <f>SUBTOTAL(103,$A$11:A104)</f>
        <v>92</v>
      </c>
      <c r="C104" s="91" t="s">
        <v>609</v>
      </c>
      <c r="D104" s="83">
        <v>478936.86</v>
      </c>
      <c r="E104" s="89">
        <v>0</v>
      </c>
      <c r="F104" s="89">
        <v>0</v>
      </c>
      <c r="G104" s="89">
        <v>0</v>
      </c>
      <c r="H104" s="89">
        <v>0</v>
      </c>
      <c r="I104" s="89">
        <v>0</v>
      </c>
      <c r="J104" s="89">
        <v>0</v>
      </c>
      <c r="K104" s="90">
        <v>0</v>
      </c>
      <c r="L104" s="89">
        <v>0</v>
      </c>
      <c r="M104" s="89">
        <v>0</v>
      </c>
      <c r="N104" s="89">
        <v>0</v>
      </c>
      <c r="O104" s="89">
        <v>478936.86</v>
      </c>
      <c r="P104" s="89">
        <v>0</v>
      </c>
      <c r="Q104" s="89">
        <v>0</v>
      </c>
      <c r="R104" s="89">
        <v>0</v>
      </c>
      <c r="S104" s="89">
        <v>0</v>
      </c>
      <c r="T104" s="89">
        <v>0</v>
      </c>
      <c r="U104" s="89">
        <v>0</v>
      </c>
      <c r="V104" s="89">
        <v>0</v>
      </c>
      <c r="W104" s="89">
        <v>0</v>
      </c>
      <c r="X104" s="89">
        <v>0</v>
      </c>
      <c r="Y104" s="89">
        <v>0</v>
      </c>
      <c r="Z104" s="89">
        <v>0</v>
      </c>
      <c r="AA104" s="89">
        <v>0</v>
      </c>
      <c r="AB104" s="88">
        <v>2020</v>
      </c>
    </row>
    <row r="105" spans="1:28" s="1" customFormat="1" ht="35.25" customHeight="1">
      <c r="A105" s="1">
        <v>1</v>
      </c>
      <c r="B105" s="38">
        <f>SUBTOTAL(103,$A$11:A105)</f>
        <v>93</v>
      </c>
      <c r="C105" s="91" t="s">
        <v>610</v>
      </c>
      <c r="D105" s="83">
        <v>2071816</v>
      </c>
      <c r="E105" s="89">
        <v>0</v>
      </c>
      <c r="F105" s="89">
        <v>0</v>
      </c>
      <c r="G105" s="89">
        <v>0</v>
      </c>
      <c r="H105" s="89">
        <v>0</v>
      </c>
      <c r="I105" s="89">
        <v>0</v>
      </c>
      <c r="J105" s="89">
        <v>0</v>
      </c>
      <c r="K105" s="90">
        <v>1</v>
      </c>
      <c r="L105" s="89">
        <v>2071816</v>
      </c>
      <c r="M105" s="89">
        <v>0</v>
      </c>
      <c r="N105" s="89">
        <v>0</v>
      </c>
      <c r="O105" s="89">
        <v>0</v>
      </c>
      <c r="P105" s="89">
        <v>0</v>
      </c>
      <c r="Q105" s="89">
        <v>0</v>
      </c>
      <c r="R105" s="89">
        <v>0</v>
      </c>
      <c r="S105" s="89">
        <v>0</v>
      </c>
      <c r="T105" s="89">
        <v>0</v>
      </c>
      <c r="U105" s="89">
        <v>0</v>
      </c>
      <c r="V105" s="89">
        <v>0</v>
      </c>
      <c r="W105" s="89">
        <v>0</v>
      </c>
      <c r="X105" s="89">
        <v>0</v>
      </c>
      <c r="Y105" s="89">
        <v>0</v>
      </c>
      <c r="Z105" s="89">
        <v>0</v>
      </c>
      <c r="AA105" s="89">
        <v>0</v>
      </c>
      <c r="AB105" s="88">
        <v>2020</v>
      </c>
    </row>
    <row r="106" spans="1:28" s="1" customFormat="1" ht="35.25" customHeight="1">
      <c r="A106" s="1">
        <v>1</v>
      </c>
      <c r="B106" s="38">
        <f>SUBTOTAL(103,$A$11:A106)</f>
        <v>94</v>
      </c>
      <c r="C106" s="91" t="s">
        <v>611</v>
      </c>
      <c r="D106" s="83">
        <v>137165.94</v>
      </c>
      <c r="E106" s="89">
        <v>0</v>
      </c>
      <c r="F106" s="89">
        <v>0</v>
      </c>
      <c r="G106" s="89">
        <v>0</v>
      </c>
      <c r="H106" s="89">
        <v>0</v>
      </c>
      <c r="I106" s="89">
        <v>0</v>
      </c>
      <c r="J106" s="89">
        <v>0</v>
      </c>
      <c r="K106" s="90">
        <v>0</v>
      </c>
      <c r="L106" s="89">
        <v>0</v>
      </c>
      <c r="M106" s="89">
        <v>0</v>
      </c>
      <c r="N106" s="89">
        <v>0</v>
      </c>
      <c r="O106" s="89">
        <v>137165.94</v>
      </c>
      <c r="P106" s="89">
        <v>0</v>
      </c>
      <c r="Q106" s="89">
        <v>0</v>
      </c>
      <c r="R106" s="89">
        <v>0</v>
      </c>
      <c r="S106" s="89">
        <v>0</v>
      </c>
      <c r="T106" s="89">
        <v>0</v>
      </c>
      <c r="U106" s="89">
        <v>0</v>
      </c>
      <c r="V106" s="89">
        <v>0</v>
      </c>
      <c r="W106" s="89">
        <v>0</v>
      </c>
      <c r="X106" s="89">
        <v>0</v>
      </c>
      <c r="Y106" s="89">
        <v>0</v>
      </c>
      <c r="Z106" s="89">
        <v>0</v>
      </c>
      <c r="AA106" s="89">
        <v>0</v>
      </c>
      <c r="AB106" s="88">
        <v>2020</v>
      </c>
    </row>
    <row r="107" spans="1:28" s="1" customFormat="1" ht="35.25" customHeight="1">
      <c r="A107" s="1">
        <v>1</v>
      </c>
      <c r="B107" s="38">
        <f>SUBTOTAL(103,$A$11:A107)</f>
        <v>95</v>
      </c>
      <c r="C107" s="91" t="s">
        <v>612</v>
      </c>
      <c r="D107" s="83">
        <v>455847</v>
      </c>
      <c r="E107" s="89">
        <v>0</v>
      </c>
      <c r="F107" s="89">
        <v>0</v>
      </c>
      <c r="G107" s="89">
        <v>0</v>
      </c>
      <c r="H107" s="89">
        <v>0</v>
      </c>
      <c r="I107" s="89">
        <v>0</v>
      </c>
      <c r="J107" s="89">
        <v>0</v>
      </c>
      <c r="K107" s="90">
        <v>0</v>
      </c>
      <c r="L107" s="89">
        <v>0</v>
      </c>
      <c r="M107" s="89">
        <v>0</v>
      </c>
      <c r="N107" s="89">
        <v>455847</v>
      </c>
      <c r="O107" s="89">
        <v>0</v>
      </c>
      <c r="P107" s="89">
        <v>0</v>
      </c>
      <c r="Q107" s="89">
        <v>0</v>
      </c>
      <c r="R107" s="89">
        <v>0</v>
      </c>
      <c r="S107" s="89">
        <v>0</v>
      </c>
      <c r="T107" s="89">
        <v>0</v>
      </c>
      <c r="U107" s="89">
        <v>0</v>
      </c>
      <c r="V107" s="89">
        <v>0</v>
      </c>
      <c r="W107" s="89">
        <v>0</v>
      </c>
      <c r="X107" s="89">
        <v>0</v>
      </c>
      <c r="Y107" s="89">
        <v>0</v>
      </c>
      <c r="Z107" s="89">
        <v>0</v>
      </c>
      <c r="AA107" s="89">
        <v>0</v>
      </c>
      <c r="AB107" s="88">
        <v>2020</v>
      </c>
    </row>
    <row r="108" spans="1:28" s="1" customFormat="1" ht="35.25" customHeight="1">
      <c r="A108" s="1">
        <v>1</v>
      </c>
      <c r="B108" s="38">
        <f>SUBTOTAL(103,$A$11:A108)</f>
        <v>96</v>
      </c>
      <c r="C108" s="91" t="s">
        <v>613</v>
      </c>
      <c r="D108" s="83">
        <v>1902802</v>
      </c>
      <c r="E108" s="89">
        <v>0</v>
      </c>
      <c r="F108" s="89">
        <v>0</v>
      </c>
      <c r="G108" s="89">
        <v>0</v>
      </c>
      <c r="H108" s="89">
        <v>0</v>
      </c>
      <c r="I108" s="89">
        <v>0</v>
      </c>
      <c r="J108" s="89">
        <v>0</v>
      </c>
      <c r="K108" s="90">
        <v>0</v>
      </c>
      <c r="L108" s="89">
        <v>0</v>
      </c>
      <c r="M108" s="89">
        <v>0</v>
      </c>
      <c r="N108" s="89">
        <v>0</v>
      </c>
      <c r="O108" s="89">
        <v>1902802</v>
      </c>
      <c r="P108" s="89">
        <v>0</v>
      </c>
      <c r="Q108" s="89">
        <v>0</v>
      </c>
      <c r="R108" s="89">
        <v>0</v>
      </c>
      <c r="S108" s="89">
        <v>0</v>
      </c>
      <c r="T108" s="89">
        <v>0</v>
      </c>
      <c r="U108" s="89">
        <v>0</v>
      </c>
      <c r="V108" s="89">
        <v>0</v>
      </c>
      <c r="W108" s="89">
        <v>0</v>
      </c>
      <c r="X108" s="89">
        <v>0</v>
      </c>
      <c r="Y108" s="89">
        <v>0</v>
      </c>
      <c r="Z108" s="89">
        <v>0</v>
      </c>
      <c r="AA108" s="89">
        <v>0</v>
      </c>
      <c r="AB108" s="88">
        <v>2020</v>
      </c>
    </row>
    <row r="109" spans="1:28" s="1" customFormat="1" ht="35.25" customHeight="1">
      <c r="A109" s="1">
        <v>1</v>
      </c>
      <c r="B109" s="38">
        <f>SUBTOTAL(103,$A$11:A109)</f>
        <v>97</v>
      </c>
      <c r="C109" s="82" t="s">
        <v>614</v>
      </c>
      <c r="D109" s="83">
        <f t="shared" ref="D109:D172" si="4">E109+F109+G109+H109+I109+J109+L109+M109+N109+O109+P109+Q109+R109+S109+T109+U109+V109+W109+X109+Y109+Z109+AA109</f>
        <v>625651.6</v>
      </c>
      <c r="E109" s="86">
        <v>0</v>
      </c>
      <c r="F109" s="86">
        <v>0</v>
      </c>
      <c r="G109" s="86">
        <v>0</v>
      </c>
      <c r="H109" s="86">
        <v>0</v>
      </c>
      <c r="I109" s="86">
        <v>0</v>
      </c>
      <c r="J109" s="86">
        <v>0</v>
      </c>
      <c r="K109" s="87">
        <v>0</v>
      </c>
      <c r="L109" s="86">
        <v>0</v>
      </c>
      <c r="M109" s="86">
        <v>625651.6</v>
      </c>
      <c r="N109" s="86">
        <v>0</v>
      </c>
      <c r="O109" s="86">
        <v>0</v>
      </c>
      <c r="P109" s="86">
        <v>0</v>
      </c>
      <c r="Q109" s="86">
        <v>0</v>
      </c>
      <c r="R109" s="86">
        <v>0</v>
      </c>
      <c r="S109" s="86">
        <v>0</v>
      </c>
      <c r="T109" s="86">
        <v>0</v>
      </c>
      <c r="U109" s="86">
        <v>0</v>
      </c>
      <c r="V109" s="86">
        <v>0</v>
      </c>
      <c r="W109" s="86">
        <v>0</v>
      </c>
      <c r="X109" s="86">
        <v>0</v>
      </c>
      <c r="Y109" s="86">
        <v>0</v>
      </c>
      <c r="Z109" s="86">
        <v>0</v>
      </c>
      <c r="AA109" s="86">
        <v>0</v>
      </c>
      <c r="AB109" s="88">
        <v>2020</v>
      </c>
    </row>
    <row r="110" spans="1:28" s="1" customFormat="1" ht="35.25" customHeight="1">
      <c r="A110" s="1">
        <v>1</v>
      </c>
      <c r="B110" s="38">
        <f>SUBTOTAL(103,$A$11:A110)</f>
        <v>98</v>
      </c>
      <c r="C110" s="82" t="s">
        <v>615</v>
      </c>
      <c r="D110" s="83">
        <f t="shared" si="4"/>
        <v>791665.1</v>
      </c>
      <c r="E110" s="86">
        <v>96000</v>
      </c>
      <c r="F110" s="86">
        <v>0</v>
      </c>
      <c r="G110" s="86">
        <v>152312</v>
      </c>
      <c r="H110" s="86">
        <v>0</v>
      </c>
      <c r="I110" s="86">
        <v>0</v>
      </c>
      <c r="J110" s="86">
        <v>0</v>
      </c>
      <c r="K110" s="87">
        <v>1</v>
      </c>
      <c r="L110" s="86">
        <v>24353.1</v>
      </c>
      <c r="M110" s="86">
        <v>0</v>
      </c>
      <c r="N110" s="86">
        <v>0</v>
      </c>
      <c r="O110" s="86">
        <v>519000</v>
      </c>
      <c r="P110" s="86">
        <v>0</v>
      </c>
      <c r="Q110" s="86">
        <v>0</v>
      </c>
      <c r="R110" s="86">
        <v>0</v>
      </c>
      <c r="S110" s="86">
        <v>0</v>
      </c>
      <c r="T110" s="86">
        <v>0</v>
      </c>
      <c r="U110" s="86">
        <v>0</v>
      </c>
      <c r="V110" s="86">
        <v>0</v>
      </c>
      <c r="W110" s="86">
        <v>0</v>
      </c>
      <c r="X110" s="86">
        <v>0</v>
      </c>
      <c r="Y110" s="86">
        <v>0</v>
      </c>
      <c r="Z110" s="86">
        <v>0</v>
      </c>
      <c r="AA110" s="86">
        <v>0</v>
      </c>
      <c r="AB110" s="88">
        <v>2020</v>
      </c>
    </row>
    <row r="111" spans="1:28" s="1" customFormat="1" ht="35.25" customHeight="1">
      <c r="A111" s="1">
        <v>1</v>
      </c>
      <c r="B111" s="38">
        <f>SUBTOTAL(103,$A$11:A111)</f>
        <v>99</v>
      </c>
      <c r="C111" s="82" t="s">
        <v>616</v>
      </c>
      <c r="D111" s="83">
        <f t="shared" si="4"/>
        <v>279192.32000000001</v>
      </c>
      <c r="E111" s="86">
        <v>0</v>
      </c>
      <c r="F111" s="86">
        <v>0</v>
      </c>
      <c r="G111" s="86">
        <v>0</v>
      </c>
      <c r="H111" s="86">
        <v>0</v>
      </c>
      <c r="I111" s="86">
        <v>0</v>
      </c>
      <c r="J111" s="86">
        <v>0</v>
      </c>
      <c r="K111" s="87">
        <v>0</v>
      </c>
      <c r="L111" s="86">
        <v>0</v>
      </c>
      <c r="M111" s="86">
        <v>0</v>
      </c>
      <c r="N111" s="86">
        <v>0</v>
      </c>
      <c r="O111" s="86">
        <v>279192.32000000001</v>
      </c>
      <c r="P111" s="86">
        <v>0</v>
      </c>
      <c r="Q111" s="86">
        <v>0</v>
      </c>
      <c r="R111" s="86">
        <v>0</v>
      </c>
      <c r="S111" s="86">
        <v>0</v>
      </c>
      <c r="T111" s="86">
        <v>0</v>
      </c>
      <c r="U111" s="86">
        <v>0</v>
      </c>
      <c r="V111" s="86">
        <v>0</v>
      </c>
      <c r="W111" s="86">
        <v>0</v>
      </c>
      <c r="X111" s="86">
        <v>0</v>
      </c>
      <c r="Y111" s="86">
        <v>0</v>
      </c>
      <c r="Z111" s="86">
        <v>0</v>
      </c>
      <c r="AA111" s="86">
        <v>0</v>
      </c>
      <c r="AB111" s="88">
        <v>2020</v>
      </c>
    </row>
    <row r="112" spans="1:28" s="1" customFormat="1" ht="35.25" customHeight="1">
      <c r="A112" s="1">
        <v>1</v>
      </c>
      <c r="B112" s="38">
        <f>SUBTOTAL(103,$A$11:A112)</f>
        <v>100</v>
      </c>
      <c r="C112" s="82" t="s">
        <v>617</v>
      </c>
      <c r="D112" s="83">
        <f t="shared" si="4"/>
        <v>170090</v>
      </c>
      <c r="E112" s="86">
        <v>0</v>
      </c>
      <c r="F112" s="86">
        <v>0</v>
      </c>
      <c r="G112" s="86">
        <v>0</v>
      </c>
      <c r="H112" s="86">
        <v>0</v>
      </c>
      <c r="I112" s="86">
        <v>0</v>
      </c>
      <c r="J112" s="86">
        <v>0</v>
      </c>
      <c r="K112" s="87">
        <v>0</v>
      </c>
      <c r="L112" s="86">
        <v>0</v>
      </c>
      <c r="M112" s="86">
        <v>0</v>
      </c>
      <c r="N112" s="86">
        <v>170090</v>
      </c>
      <c r="O112" s="86">
        <v>0</v>
      </c>
      <c r="P112" s="86">
        <v>0</v>
      </c>
      <c r="Q112" s="86">
        <v>0</v>
      </c>
      <c r="R112" s="86">
        <v>0</v>
      </c>
      <c r="S112" s="86">
        <v>0</v>
      </c>
      <c r="T112" s="86">
        <v>0</v>
      </c>
      <c r="U112" s="86">
        <v>0</v>
      </c>
      <c r="V112" s="86">
        <v>0</v>
      </c>
      <c r="W112" s="86">
        <v>0</v>
      </c>
      <c r="X112" s="86">
        <v>0</v>
      </c>
      <c r="Y112" s="86">
        <v>0</v>
      </c>
      <c r="Z112" s="86">
        <v>0</v>
      </c>
      <c r="AA112" s="86">
        <v>0</v>
      </c>
      <c r="AB112" s="88">
        <v>2020</v>
      </c>
    </row>
    <row r="113" spans="1:28" s="1" customFormat="1" ht="35.25" customHeight="1">
      <c r="A113" s="1">
        <v>1</v>
      </c>
      <c r="B113" s="38">
        <f>SUBTOTAL(103,$A$11:A113)</f>
        <v>101</v>
      </c>
      <c r="C113" s="82" t="s">
        <v>618</v>
      </c>
      <c r="D113" s="83">
        <f t="shared" si="4"/>
        <v>902421</v>
      </c>
      <c r="E113" s="86">
        <v>0</v>
      </c>
      <c r="F113" s="86">
        <v>0</v>
      </c>
      <c r="G113" s="86">
        <v>0</v>
      </c>
      <c r="H113" s="86">
        <v>0</v>
      </c>
      <c r="I113" s="86">
        <v>0</v>
      </c>
      <c r="J113" s="86">
        <v>0</v>
      </c>
      <c r="K113" s="87">
        <v>0</v>
      </c>
      <c r="L113" s="86">
        <v>0</v>
      </c>
      <c r="M113" s="86">
        <v>863636</v>
      </c>
      <c r="N113" s="86">
        <v>0</v>
      </c>
      <c r="O113" s="86">
        <v>38785</v>
      </c>
      <c r="P113" s="86">
        <v>0</v>
      </c>
      <c r="Q113" s="86">
        <v>0</v>
      </c>
      <c r="R113" s="86">
        <v>0</v>
      </c>
      <c r="S113" s="86">
        <v>0</v>
      </c>
      <c r="T113" s="86">
        <v>0</v>
      </c>
      <c r="U113" s="86">
        <v>0</v>
      </c>
      <c r="V113" s="86">
        <v>0</v>
      </c>
      <c r="W113" s="86">
        <v>0</v>
      </c>
      <c r="X113" s="86">
        <v>0</v>
      </c>
      <c r="Y113" s="86">
        <v>0</v>
      </c>
      <c r="Z113" s="86">
        <v>0</v>
      </c>
      <c r="AA113" s="86">
        <v>0</v>
      </c>
      <c r="AB113" s="88">
        <v>2020</v>
      </c>
    </row>
    <row r="114" spans="1:28" s="1" customFormat="1" ht="35.25" customHeight="1">
      <c r="A114" s="1">
        <v>1</v>
      </c>
      <c r="B114" s="38">
        <f>SUBTOTAL(103,$A$11:A114)</f>
        <v>102</v>
      </c>
      <c r="C114" s="82" t="s">
        <v>619</v>
      </c>
      <c r="D114" s="83">
        <f t="shared" si="4"/>
        <v>277962</v>
      </c>
      <c r="E114" s="86">
        <v>0</v>
      </c>
      <c r="F114" s="86">
        <v>0</v>
      </c>
      <c r="G114" s="86">
        <v>0</v>
      </c>
      <c r="H114" s="86">
        <v>0</v>
      </c>
      <c r="I114" s="86">
        <v>0</v>
      </c>
      <c r="J114" s="86">
        <v>0</v>
      </c>
      <c r="K114" s="87">
        <v>0</v>
      </c>
      <c r="L114" s="86">
        <v>0</v>
      </c>
      <c r="M114" s="86">
        <v>0</v>
      </c>
      <c r="N114" s="86">
        <v>0</v>
      </c>
      <c r="O114" s="86">
        <v>277962</v>
      </c>
      <c r="P114" s="86">
        <v>0</v>
      </c>
      <c r="Q114" s="86">
        <v>0</v>
      </c>
      <c r="R114" s="86">
        <v>0</v>
      </c>
      <c r="S114" s="86">
        <v>0</v>
      </c>
      <c r="T114" s="86">
        <v>0</v>
      </c>
      <c r="U114" s="86">
        <v>0</v>
      </c>
      <c r="V114" s="86">
        <v>0</v>
      </c>
      <c r="W114" s="86">
        <v>0</v>
      </c>
      <c r="X114" s="86">
        <v>0</v>
      </c>
      <c r="Y114" s="86">
        <v>0</v>
      </c>
      <c r="Z114" s="86">
        <v>0</v>
      </c>
      <c r="AA114" s="86">
        <v>0</v>
      </c>
      <c r="AB114" s="88">
        <v>2020</v>
      </c>
    </row>
    <row r="115" spans="1:28" s="1" customFormat="1" ht="35.25" customHeight="1">
      <c r="A115" s="1">
        <v>1</v>
      </c>
      <c r="B115" s="38">
        <f>SUBTOTAL(103,$A$11:A115)</f>
        <v>103</v>
      </c>
      <c r="C115" s="82" t="s">
        <v>620</v>
      </c>
      <c r="D115" s="83">
        <f t="shared" si="4"/>
        <v>167576.1</v>
      </c>
      <c r="E115" s="86">
        <v>0</v>
      </c>
      <c r="F115" s="86">
        <v>0</v>
      </c>
      <c r="G115" s="86">
        <v>0</v>
      </c>
      <c r="H115" s="86">
        <v>0</v>
      </c>
      <c r="I115" s="86">
        <v>0</v>
      </c>
      <c r="J115" s="86">
        <v>0</v>
      </c>
      <c r="K115" s="87">
        <v>0</v>
      </c>
      <c r="L115" s="86">
        <v>0</v>
      </c>
      <c r="M115" s="86">
        <v>167576.1</v>
      </c>
      <c r="N115" s="86">
        <v>0</v>
      </c>
      <c r="O115" s="86">
        <v>0</v>
      </c>
      <c r="P115" s="86">
        <v>0</v>
      </c>
      <c r="Q115" s="86">
        <v>0</v>
      </c>
      <c r="R115" s="86">
        <v>0</v>
      </c>
      <c r="S115" s="86">
        <v>0</v>
      </c>
      <c r="T115" s="86">
        <v>0</v>
      </c>
      <c r="U115" s="86">
        <v>0</v>
      </c>
      <c r="V115" s="86">
        <v>0</v>
      </c>
      <c r="W115" s="86">
        <v>0</v>
      </c>
      <c r="X115" s="86">
        <v>0</v>
      </c>
      <c r="Y115" s="86">
        <v>0</v>
      </c>
      <c r="Z115" s="86">
        <v>0</v>
      </c>
      <c r="AA115" s="86">
        <v>0</v>
      </c>
      <c r="AB115" s="88">
        <v>2020</v>
      </c>
    </row>
    <row r="116" spans="1:28" s="1" customFormat="1" ht="35.25" customHeight="1">
      <c r="A116" s="1">
        <v>1</v>
      </c>
      <c r="B116" s="38">
        <f>SUBTOTAL(103,$A$11:A116)</f>
        <v>104</v>
      </c>
      <c r="C116" s="82" t="s">
        <v>621</v>
      </c>
      <c r="D116" s="83">
        <f t="shared" si="4"/>
        <v>1903864.69</v>
      </c>
      <c r="E116" s="86">
        <v>0</v>
      </c>
      <c r="F116" s="86">
        <v>0</v>
      </c>
      <c r="G116" s="86">
        <v>0</v>
      </c>
      <c r="H116" s="86">
        <v>0</v>
      </c>
      <c r="I116" s="86">
        <v>0</v>
      </c>
      <c r="J116" s="86">
        <v>0</v>
      </c>
      <c r="K116" s="87">
        <v>0</v>
      </c>
      <c r="L116" s="86">
        <v>0</v>
      </c>
      <c r="M116" s="86">
        <v>1903864.69</v>
      </c>
      <c r="N116" s="86">
        <v>0</v>
      </c>
      <c r="O116" s="86">
        <v>0</v>
      </c>
      <c r="P116" s="86">
        <v>0</v>
      </c>
      <c r="Q116" s="86">
        <v>0</v>
      </c>
      <c r="R116" s="86">
        <v>0</v>
      </c>
      <c r="S116" s="86">
        <v>0</v>
      </c>
      <c r="T116" s="86">
        <v>0</v>
      </c>
      <c r="U116" s="86">
        <v>0</v>
      </c>
      <c r="V116" s="86">
        <v>0</v>
      </c>
      <c r="W116" s="86">
        <v>0</v>
      </c>
      <c r="X116" s="86">
        <v>0</v>
      </c>
      <c r="Y116" s="86">
        <v>0</v>
      </c>
      <c r="Z116" s="86">
        <v>0</v>
      </c>
      <c r="AA116" s="86">
        <v>0</v>
      </c>
      <c r="AB116" s="88">
        <v>2020</v>
      </c>
    </row>
    <row r="117" spans="1:28" s="1" customFormat="1" ht="35.25" customHeight="1">
      <c r="A117" s="1">
        <v>1</v>
      </c>
      <c r="B117" s="38">
        <f>SUBTOTAL(103,$A$11:A117)</f>
        <v>105</v>
      </c>
      <c r="C117" s="82" t="s">
        <v>622</v>
      </c>
      <c r="D117" s="83">
        <f t="shared" si="4"/>
        <v>169304</v>
      </c>
      <c r="E117" s="86">
        <v>0</v>
      </c>
      <c r="F117" s="86">
        <v>0</v>
      </c>
      <c r="G117" s="86">
        <v>0</v>
      </c>
      <c r="H117" s="86">
        <v>0</v>
      </c>
      <c r="I117" s="86">
        <v>0</v>
      </c>
      <c r="J117" s="86">
        <v>0</v>
      </c>
      <c r="K117" s="87">
        <v>0</v>
      </c>
      <c r="L117" s="86">
        <v>0</v>
      </c>
      <c r="M117" s="86">
        <v>0</v>
      </c>
      <c r="N117" s="86">
        <v>0</v>
      </c>
      <c r="O117" s="86">
        <v>169304</v>
      </c>
      <c r="P117" s="86">
        <v>0</v>
      </c>
      <c r="Q117" s="86">
        <v>0</v>
      </c>
      <c r="R117" s="86">
        <v>0</v>
      </c>
      <c r="S117" s="86">
        <v>0</v>
      </c>
      <c r="T117" s="86">
        <v>0</v>
      </c>
      <c r="U117" s="86">
        <v>0</v>
      </c>
      <c r="V117" s="86">
        <v>0</v>
      </c>
      <c r="W117" s="86">
        <v>0</v>
      </c>
      <c r="X117" s="86">
        <v>0</v>
      </c>
      <c r="Y117" s="86">
        <v>0</v>
      </c>
      <c r="Z117" s="86">
        <v>0</v>
      </c>
      <c r="AA117" s="86">
        <v>0</v>
      </c>
      <c r="AB117" s="88">
        <v>2020</v>
      </c>
    </row>
    <row r="118" spans="1:28" s="1" customFormat="1" ht="35.25" customHeight="1">
      <c r="A118" s="1">
        <v>1</v>
      </c>
      <c r="B118" s="38">
        <f>SUBTOTAL(103,$A$11:A118)</f>
        <v>106</v>
      </c>
      <c r="C118" s="82" t="s">
        <v>623</v>
      </c>
      <c r="D118" s="83">
        <f t="shared" si="4"/>
        <v>312022</v>
      </c>
      <c r="E118" s="86">
        <v>0</v>
      </c>
      <c r="F118" s="86">
        <v>0</v>
      </c>
      <c r="G118" s="86">
        <v>0</v>
      </c>
      <c r="H118" s="86">
        <v>0</v>
      </c>
      <c r="I118" s="86">
        <v>0</v>
      </c>
      <c r="J118" s="86">
        <v>0</v>
      </c>
      <c r="K118" s="87">
        <v>0</v>
      </c>
      <c r="L118" s="86">
        <v>0</v>
      </c>
      <c r="M118" s="86">
        <v>0</v>
      </c>
      <c r="N118" s="86">
        <v>0</v>
      </c>
      <c r="O118" s="86">
        <v>312022</v>
      </c>
      <c r="P118" s="86">
        <v>0</v>
      </c>
      <c r="Q118" s="86">
        <v>0</v>
      </c>
      <c r="R118" s="86">
        <v>0</v>
      </c>
      <c r="S118" s="86">
        <v>0</v>
      </c>
      <c r="T118" s="86">
        <v>0</v>
      </c>
      <c r="U118" s="86">
        <v>0</v>
      </c>
      <c r="V118" s="86">
        <v>0</v>
      </c>
      <c r="W118" s="86">
        <v>0</v>
      </c>
      <c r="X118" s="86">
        <v>0</v>
      </c>
      <c r="Y118" s="86">
        <v>0</v>
      </c>
      <c r="Z118" s="86">
        <v>0</v>
      </c>
      <c r="AA118" s="86">
        <v>0</v>
      </c>
      <c r="AB118" s="88">
        <v>2020</v>
      </c>
    </row>
    <row r="119" spans="1:28" s="1" customFormat="1" ht="35.25" customHeight="1">
      <c r="A119" s="1">
        <v>1</v>
      </c>
      <c r="B119" s="38">
        <f>SUBTOTAL(103,$A$11:A119)</f>
        <v>107</v>
      </c>
      <c r="C119" s="82" t="s">
        <v>624</v>
      </c>
      <c r="D119" s="83">
        <f t="shared" si="4"/>
        <v>75000</v>
      </c>
      <c r="E119" s="86">
        <v>0</v>
      </c>
      <c r="F119" s="86">
        <v>0</v>
      </c>
      <c r="G119" s="86">
        <v>0</v>
      </c>
      <c r="H119" s="86">
        <v>0</v>
      </c>
      <c r="I119" s="86">
        <v>0</v>
      </c>
      <c r="J119" s="86">
        <v>0</v>
      </c>
      <c r="K119" s="87">
        <v>0</v>
      </c>
      <c r="L119" s="86">
        <v>0</v>
      </c>
      <c r="M119" s="86">
        <v>0</v>
      </c>
      <c r="N119" s="86">
        <v>75000</v>
      </c>
      <c r="O119" s="86">
        <v>0</v>
      </c>
      <c r="P119" s="86">
        <v>0</v>
      </c>
      <c r="Q119" s="86">
        <v>0</v>
      </c>
      <c r="R119" s="86">
        <v>0</v>
      </c>
      <c r="S119" s="86">
        <v>0</v>
      </c>
      <c r="T119" s="86">
        <v>0</v>
      </c>
      <c r="U119" s="86">
        <v>0</v>
      </c>
      <c r="V119" s="86">
        <v>0</v>
      </c>
      <c r="W119" s="86">
        <v>0</v>
      </c>
      <c r="X119" s="86">
        <v>0</v>
      </c>
      <c r="Y119" s="86">
        <v>0</v>
      </c>
      <c r="Z119" s="86">
        <v>0</v>
      </c>
      <c r="AA119" s="86">
        <v>0</v>
      </c>
      <c r="AB119" s="88">
        <v>2020</v>
      </c>
    </row>
    <row r="120" spans="1:28" s="1" customFormat="1" ht="35.25" customHeight="1">
      <c r="A120" s="1">
        <v>1</v>
      </c>
      <c r="B120" s="38">
        <f>SUBTOTAL(103,$A$11:A120)</f>
        <v>108</v>
      </c>
      <c r="C120" s="82" t="s">
        <v>418</v>
      </c>
      <c r="D120" s="83">
        <f t="shared" si="4"/>
        <v>1850000</v>
      </c>
      <c r="E120" s="86">
        <v>0</v>
      </c>
      <c r="F120" s="86">
        <v>0</v>
      </c>
      <c r="G120" s="86">
        <v>0</v>
      </c>
      <c r="H120" s="86">
        <v>0</v>
      </c>
      <c r="I120" s="86">
        <v>0</v>
      </c>
      <c r="J120" s="86">
        <v>0</v>
      </c>
      <c r="K120" s="87">
        <v>1</v>
      </c>
      <c r="L120" s="86">
        <v>1850000</v>
      </c>
      <c r="M120" s="86">
        <v>0</v>
      </c>
      <c r="N120" s="86">
        <v>0</v>
      </c>
      <c r="O120" s="86">
        <v>0</v>
      </c>
      <c r="P120" s="86">
        <v>0</v>
      </c>
      <c r="Q120" s="86">
        <v>0</v>
      </c>
      <c r="R120" s="86">
        <v>0</v>
      </c>
      <c r="S120" s="86">
        <v>0</v>
      </c>
      <c r="T120" s="86">
        <v>0</v>
      </c>
      <c r="U120" s="86">
        <v>0</v>
      </c>
      <c r="V120" s="86">
        <v>0</v>
      </c>
      <c r="W120" s="86">
        <v>0</v>
      </c>
      <c r="X120" s="86">
        <v>0</v>
      </c>
      <c r="Y120" s="86">
        <v>0</v>
      </c>
      <c r="Z120" s="86">
        <v>0</v>
      </c>
      <c r="AA120" s="86">
        <v>0</v>
      </c>
      <c r="AB120" s="88">
        <v>2020</v>
      </c>
    </row>
    <row r="121" spans="1:28" s="1" customFormat="1" ht="35.25" customHeight="1">
      <c r="A121" s="1">
        <v>1</v>
      </c>
      <c r="B121" s="38">
        <f>SUBTOTAL(103,$A$11:A121)</f>
        <v>109</v>
      </c>
      <c r="C121" s="82" t="s">
        <v>625</v>
      </c>
      <c r="D121" s="83">
        <f t="shared" si="4"/>
        <v>527974.02</v>
      </c>
      <c r="E121" s="86">
        <v>0</v>
      </c>
      <c r="F121" s="86">
        <v>0</v>
      </c>
      <c r="G121" s="86">
        <v>0</v>
      </c>
      <c r="H121" s="86">
        <v>0</v>
      </c>
      <c r="I121" s="86">
        <v>0</v>
      </c>
      <c r="J121" s="86">
        <v>0</v>
      </c>
      <c r="K121" s="87">
        <v>0</v>
      </c>
      <c r="L121" s="86">
        <v>0</v>
      </c>
      <c r="M121" s="86">
        <v>0</v>
      </c>
      <c r="N121" s="86">
        <v>0</v>
      </c>
      <c r="O121" s="86">
        <v>239435.8</v>
      </c>
      <c r="P121" s="86">
        <v>288538.21999999997</v>
      </c>
      <c r="Q121" s="86">
        <v>0</v>
      </c>
      <c r="R121" s="86">
        <v>0</v>
      </c>
      <c r="S121" s="86">
        <v>0</v>
      </c>
      <c r="T121" s="86">
        <v>0</v>
      </c>
      <c r="U121" s="86">
        <v>0</v>
      </c>
      <c r="V121" s="86">
        <v>0</v>
      </c>
      <c r="W121" s="86">
        <v>0</v>
      </c>
      <c r="X121" s="86">
        <v>0</v>
      </c>
      <c r="Y121" s="86">
        <v>0</v>
      </c>
      <c r="Z121" s="86">
        <v>0</v>
      </c>
      <c r="AA121" s="86">
        <v>0</v>
      </c>
      <c r="AB121" s="88">
        <v>2020</v>
      </c>
    </row>
    <row r="122" spans="1:28" s="1" customFormat="1" ht="35.25" customHeight="1">
      <c r="A122" s="1">
        <v>1</v>
      </c>
      <c r="B122" s="38">
        <f>SUBTOTAL(103,$A$11:A122)</f>
        <v>110</v>
      </c>
      <c r="C122" s="82" t="s">
        <v>626</v>
      </c>
      <c r="D122" s="83">
        <f t="shared" si="4"/>
        <v>382402.8</v>
      </c>
      <c r="E122" s="86">
        <v>0</v>
      </c>
      <c r="F122" s="86">
        <v>0</v>
      </c>
      <c r="G122" s="86">
        <v>0</v>
      </c>
      <c r="H122" s="86">
        <v>0</v>
      </c>
      <c r="I122" s="86">
        <v>0</v>
      </c>
      <c r="J122" s="86">
        <v>0</v>
      </c>
      <c r="K122" s="87">
        <v>0</v>
      </c>
      <c r="L122" s="86">
        <v>0</v>
      </c>
      <c r="M122" s="86">
        <v>185479.3</v>
      </c>
      <c r="N122" s="86">
        <v>0</v>
      </c>
      <c r="O122" s="86">
        <v>196923.5</v>
      </c>
      <c r="P122" s="86">
        <v>0</v>
      </c>
      <c r="Q122" s="86">
        <v>0</v>
      </c>
      <c r="R122" s="86">
        <v>0</v>
      </c>
      <c r="S122" s="86">
        <v>0</v>
      </c>
      <c r="T122" s="86">
        <v>0</v>
      </c>
      <c r="U122" s="86">
        <v>0</v>
      </c>
      <c r="V122" s="86">
        <v>0</v>
      </c>
      <c r="W122" s="86">
        <v>0</v>
      </c>
      <c r="X122" s="86">
        <v>0</v>
      </c>
      <c r="Y122" s="86">
        <v>0</v>
      </c>
      <c r="Z122" s="86">
        <v>0</v>
      </c>
      <c r="AA122" s="86">
        <v>0</v>
      </c>
      <c r="AB122" s="88">
        <v>2020</v>
      </c>
    </row>
    <row r="123" spans="1:28" s="1" customFormat="1" ht="35.25" customHeight="1">
      <c r="A123" s="1">
        <v>1</v>
      </c>
      <c r="B123" s="38">
        <f>SUBTOTAL(103,$A$11:A123)</f>
        <v>111</v>
      </c>
      <c r="C123" s="82" t="s">
        <v>627</v>
      </c>
      <c r="D123" s="83">
        <f t="shared" si="4"/>
        <v>1134646</v>
      </c>
      <c r="E123" s="86">
        <v>0</v>
      </c>
      <c r="F123" s="86">
        <v>0</v>
      </c>
      <c r="G123" s="86">
        <v>0</v>
      </c>
      <c r="H123" s="86">
        <v>0</v>
      </c>
      <c r="I123" s="86">
        <v>0</v>
      </c>
      <c r="J123" s="86">
        <v>0</v>
      </c>
      <c r="K123" s="87">
        <v>0</v>
      </c>
      <c r="L123" s="86">
        <v>0</v>
      </c>
      <c r="M123" s="86">
        <v>1134646</v>
      </c>
      <c r="N123" s="86">
        <v>0</v>
      </c>
      <c r="O123" s="86">
        <v>0</v>
      </c>
      <c r="P123" s="86">
        <v>0</v>
      </c>
      <c r="Q123" s="86">
        <v>0</v>
      </c>
      <c r="R123" s="86">
        <v>0</v>
      </c>
      <c r="S123" s="86">
        <v>0</v>
      </c>
      <c r="T123" s="86">
        <v>0</v>
      </c>
      <c r="U123" s="86">
        <v>0</v>
      </c>
      <c r="V123" s="86">
        <v>0</v>
      </c>
      <c r="W123" s="86">
        <v>0</v>
      </c>
      <c r="X123" s="86">
        <v>0</v>
      </c>
      <c r="Y123" s="86">
        <v>0</v>
      </c>
      <c r="Z123" s="86">
        <v>0</v>
      </c>
      <c r="AA123" s="86">
        <v>0</v>
      </c>
      <c r="AB123" s="88">
        <v>2020</v>
      </c>
    </row>
    <row r="124" spans="1:28" s="1" customFormat="1" ht="35.25" customHeight="1">
      <c r="A124" s="1">
        <v>1</v>
      </c>
      <c r="B124" s="38">
        <f>SUBTOTAL(103,$A$11:A124)</f>
        <v>112</v>
      </c>
      <c r="C124" s="82" t="s">
        <v>628</v>
      </c>
      <c r="D124" s="83">
        <f t="shared" si="4"/>
        <v>437000</v>
      </c>
      <c r="E124" s="86">
        <v>0</v>
      </c>
      <c r="F124" s="86">
        <v>0</v>
      </c>
      <c r="G124" s="86">
        <v>0</v>
      </c>
      <c r="H124" s="86">
        <v>0</v>
      </c>
      <c r="I124" s="86">
        <v>0</v>
      </c>
      <c r="J124" s="86">
        <v>0</v>
      </c>
      <c r="K124" s="87">
        <v>0</v>
      </c>
      <c r="L124" s="86">
        <v>0</v>
      </c>
      <c r="M124" s="86">
        <v>0</v>
      </c>
      <c r="N124" s="86">
        <v>0</v>
      </c>
      <c r="O124" s="86">
        <v>437000</v>
      </c>
      <c r="P124" s="86">
        <v>0</v>
      </c>
      <c r="Q124" s="86">
        <v>0</v>
      </c>
      <c r="R124" s="86">
        <v>0</v>
      </c>
      <c r="S124" s="86">
        <v>0</v>
      </c>
      <c r="T124" s="86">
        <v>0</v>
      </c>
      <c r="U124" s="86">
        <v>0</v>
      </c>
      <c r="V124" s="86">
        <v>0</v>
      </c>
      <c r="W124" s="86">
        <v>0</v>
      </c>
      <c r="X124" s="86">
        <v>0</v>
      </c>
      <c r="Y124" s="86">
        <v>0</v>
      </c>
      <c r="Z124" s="86">
        <v>0</v>
      </c>
      <c r="AA124" s="86">
        <v>0</v>
      </c>
      <c r="AB124" s="88">
        <v>2020</v>
      </c>
    </row>
    <row r="125" spans="1:28" s="1" customFormat="1" ht="35.25" customHeight="1">
      <c r="A125" s="1">
        <v>1</v>
      </c>
      <c r="B125" s="38">
        <f>SUBTOTAL(103,$A$11:A125)</f>
        <v>113</v>
      </c>
      <c r="C125" s="82" t="s">
        <v>629</v>
      </c>
      <c r="D125" s="83">
        <f t="shared" si="4"/>
        <v>38391.56</v>
      </c>
      <c r="E125" s="86">
        <v>0</v>
      </c>
      <c r="F125" s="86">
        <v>0</v>
      </c>
      <c r="G125" s="86">
        <v>38391.56</v>
      </c>
      <c r="H125" s="86">
        <v>0</v>
      </c>
      <c r="I125" s="86">
        <v>0</v>
      </c>
      <c r="J125" s="86">
        <v>0</v>
      </c>
      <c r="K125" s="87">
        <v>0</v>
      </c>
      <c r="L125" s="86">
        <v>0</v>
      </c>
      <c r="M125" s="86">
        <v>0</v>
      </c>
      <c r="N125" s="86">
        <v>0</v>
      </c>
      <c r="O125" s="86">
        <v>0</v>
      </c>
      <c r="P125" s="86">
        <v>0</v>
      </c>
      <c r="Q125" s="86">
        <v>0</v>
      </c>
      <c r="R125" s="86">
        <v>0</v>
      </c>
      <c r="S125" s="86">
        <v>0</v>
      </c>
      <c r="T125" s="86">
        <v>0</v>
      </c>
      <c r="U125" s="86">
        <v>0</v>
      </c>
      <c r="V125" s="86">
        <v>0</v>
      </c>
      <c r="W125" s="86">
        <v>0</v>
      </c>
      <c r="X125" s="86">
        <v>0</v>
      </c>
      <c r="Y125" s="86">
        <v>0</v>
      </c>
      <c r="Z125" s="86">
        <v>0</v>
      </c>
      <c r="AA125" s="86">
        <v>0</v>
      </c>
      <c r="AB125" s="88">
        <v>2020</v>
      </c>
    </row>
    <row r="126" spans="1:28" s="1" customFormat="1" ht="35.25" customHeight="1">
      <c r="A126" s="1">
        <v>1</v>
      </c>
      <c r="B126" s="38">
        <f>SUBTOTAL(103,$A$11:A126)</f>
        <v>114</v>
      </c>
      <c r="C126" s="82" t="s">
        <v>630</v>
      </c>
      <c r="D126" s="83">
        <f t="shared" si="4"/>
        <v>95313.83</v>
      </c>
      <c r="E126" s="86">
        <v>95313.83</v>
      </c>
      <c r="F126" s="86">
        <v>0</v>
      </c>
      <c r="G126" s="86">
        <v>0</v>
      </c>
      <c r="H126" s="86">
        <v>0</v>
      </c>
      <c r="I126" s="86">
        <v>0</v>
      </c>
      <c r="J126" s="86">
        <v>0</v>
      </c>
      <c r="K126" s="87">
        <v>0</v>
      </c>
      <c r="L126" s="86">
        <v>0</v>
      </c>
      <c r="M126" s="86">
        <v>0</v>
      </c>
      <c r="N126" s="86">
        <v>0</v>
      </c>
      <c r="O126" s="86">
        <v>0</v>
      </c>
      <c r="P126" s="86">
        <v>0</v>
      </c>
      <c r="Q126" s="86">
        <v>0</v>
      </c>
      <c r="R126" s="86">
        <v>0</v>
      </c>
      <c r="S126" s="86">
        <v>0</v>
      </c>
      <c r="T126" s="86">
        <v>0</v>
      </c>
      <c r="U126" s="86">
        <v>0</v>
      </c>
      <c r="V126" s="86">
        <v>0</v>
      </c>
      <c r="W126" s="86">
        <v>0</v>
      </c>
      <c r="X126" s="86">
        <v>0</v>
      </c>
      <c r="Y126" s="86">
        <v>0</v>
      </c>
      <c r="Z126" s="86">
        <v>0</v>
      </c>
      <c r="AA126" s="86">
        <v>0</v>
      </c>
      <c r="AB126" s="88">
        <v>2020</v>
      </c>
    </row>
    <row r="127" spans="1:28" s="1" customFormat="1" ht="35.25" customHeight="1">
      <c r="A127" s="1">
        <v>1</v>
      </c>
      <c r="B127" s="38">
        <f>SUBTOTAL(103,$A$11:A127)</f>
        <v>115</v>
      </c>
      <c r="C127" s="82" t="s">
        <v>631</v>
      </c>
      <c r="D127" s="83">
        <f t="shared" si="4"/>
        <v>723801.52</v>
      </c>
      <c r="E127" s="86">
        <v>0</v>
      </c>
      <c r="F127" s="86">
        <v>0</v>
      </c>
      <c r="G127" s="86">
        <v>174204</v>
      </c>
      <c r="H127" s="86">
        <v>0</v>
      </c>
      <c r="I127" s="86">
        <v>0</v>
      </c>
      <c r="J127" s="86">
        <v>0</v>
      </c>
      <c r="K127" s="87">
        <v>0</v>
      </c>
      <c r="L127" s="86">
        <v>0</v>
      </c>
      <c r="M127" s="86">
        <v>549597.52</v>
      </c>
      <c r="N127" s="86">
        <v>0</v>
      </c>
      <c r="O127" s="86">
        <v>0</v>
      </c>
      <c r="P127" s="86">
        <v>0</v>
      </c>
      <c r="Q127" s="86">
        <v>0</v>
      </c>
      <c r="R127" s="86">
        <v>0</v>
      </c>
      <c r="S127" s="86">
        <v>0</v>
      </c>
      <c r="T127" s="86">
        <v>0</v>
      </c>
      <c r="U127" s="86">
        <v>0</v>
      </c>
      <c r="V127" s="86">
        <v>0</v>
      </c>
      <c r="W127" s="86">
        <v>0</v>
      </c>
      <c r="X127" s="86">
        <v>0</v>
      </c>
      <c r="Y127" s="86">
        <v>0</v>
      </c>
      <c r="Z127" s="86">
        <v>0</v>
      </c>
      <c r="AA127" s="86">
        <v>0</v>
      </c>
      <c r="AB127" s="88">
        <v>2020</v>
      </c>
    </row>
    <row r="128" spans="1:28" s="1" customFormat="1" ht="35.25" customHeight="1">
      <c r="A128" s="1">
        <v>1</v>
      </c>
      <c r="B128" s="38">
        <f>SUBTOTAL(103,$A$11:A128)</f>
        <v>116</v>
      </c>
      <c r="C128" s="82" t="s">
        <v>632</v>
      </c>
      <c r="D128" s="83">
        <f>E128+F128+G128+H128+I128+J128+L128+M128+N128+O128+P128+Q128+R128+S128+T128+U128+V128+W128+X128+Y128+Z128+AA128</f>
        <v>460900</v>
      </c>
      <c r="E128" s="86">
        <v>0</v>
      </c>
      <c r="F128" s="86">
        <v>0</v>
      </c>
      <c r="G128" s="86">
        <v>0</v>
      </c>
      <c r="H128" s="86">
        <v>0</v>
      </c>
      <c r="I128" s="86">
        <v>0</v>
      </c>
      <c r="J128" s="86">
        <v>0</v>
      </c>
      <c r="K128" s="87">
        <v>0</v>
      </c>
      <c r="L128" s="86">
        <v>0</v>
      </c>
      <c r="M128" s="86">
        <v>0</v>
      </c>
      <c r="N128" s="86">
        <v>0</v>
      </c>
      <c r="O128" s="86">
        <v>460900</v>
      </c>
      <c r="P128" s="86">
        <v>0</v>
      </c>
      <c r="Q128" s="86">
        <v>0</v>
      </c>
      <c r="R128" s="86">
        <v>0</v>
      </c>
      <c r="S128" s="86">
        <v>0</v>
      </c>
      <c r="T128" s="86">
        <v>0</v>
      </c>
      <c r="U128" s="86">
        <v>0</v>
      </c>
      <c r="V128" s="86">
        <v>0</v>
      </c>
      <c r="W128" s="86">
        <v>0</v>
      </c>
      <c r="X128" s="86">
        <v>0</v>
      </c>
      <c r="Y128" s="86">
        <v>0</v>
      </c>
      <c r="Z128" s="86">
        <v>0</v>
      </c>
      <c r="AA128" s="86">
        <v>0</v>
      </c>
      <c r="AB128" s="88">
        <v>2020</v>
      </c>
    </row>
    <row r="129" spans="1:28" s="1" customFormat="1" ht="35.25" customHeight="1">
      <c r="A129" s="1">
        <v>1</v>
      </c>
      <c r="B129" s="38">
        <f>SUBTOTAL(103,$A$11:A129)</f>
        <v>117</v>
      </c>
      <c r="C129" s="82" t="s">
        <v>633</v>
      </c>
      <c r="D129" s="83">
        <f t="shared" si="4"/>
        <v>154035</v>
      </c>
      <c r="E129" s="86">
        <v>0</v>
      </c>
      <c r="F129" s="86">
        <v>0</v>
      </c>
      <c r="G129" s="86">
        <v>0</v>
      </c>
      <c r="H129" s="86">
        <v>0</v>
      </c>
      <c r="I129" s="86">
        <v>15485</v>
      </c>
      <c r="J129" s="86">
        <v>0</v>
      </c>
      <c r="K129" s="87">
        <v>0</v>
      </c>
      <c r="L129" s="86">
        <v>0</v>
      </c>
      <c r="M129" s="86">
        <v>138550</v>
      </c>
      <c r="N129" s="86">
        <v>0</v>
      </c>
      <c r="O129" s="86">
        <v>0</v>
      </c>
      <c r="P129" s="86">
        <v>0</v>
      </c>
      <c r="Q129" s="86">
        <v>0</v>
      </c>
      <c r="R129" s="86">
        <v>0</v>
      </c>
      <c r="S129" s="86">
        <v>0</v>
      </c>
      <c r="T129" s="86">
        <v>0</v>
      </c>
      <c r="U129" s="86">
        <v>0</v>
      </c>
      <c r="V129" s="86">
        <v>0</v>
      </c>
      <c r="W129" s="86">
        <v>0</v>
      </c>
      <c r="X129" s="86">
        <v>0</v>
      </c>
      <c r="Y129" s="86">
        <v>0</v>
      </c>
      <c r="Z129" s="86">
        <v>0</v>
      </c>
      <c r="AA129" s="86">
        <v>0</v>
      </c>
      <c r="AB129" s="88">
        <v>2020</v>
      </c>
    </row>
    <row r="130" spans="1:28" s="1" customFormat="1" ht="35.25" customHeight="1">
      <c r="A130" s="1">
        <v>1</v>
      </c>
      <c r="B130" s="38">
        <f>SUBTOTAL(103,$A$11:A130)</f>
        <v>118</v>
      </c>
      <c r="C130" s="82" t="s">
        <v>634</v>
      </c>
      <c r="D130" s="83">
        <f t="shared" si="4"/>
        <v>329973</v>
      </c>
      <c r="E130" s="86">
        <v>0</v>
      </c>
      <c r="F130" s="86">
        <v>0</v>
      </c>
      <c r="G130" s="86">
        <v>0</v>
      </c>
      <c r="H130" s="86">
        <v>0</v>
      </c>
      <c r="I130" s="86">
        <v>0</v>
      </c>
      <c r="J130" s="86">
        <v>0</v>
      </c>
      <c r="K130" s="87">
        <v>0</v>
      </c>
      <c r="L130" s="86">
        <v>0</v>
      </c>
      <c r="M130" s="86">
        <v>0</v>
      </c>
      <c r="N130" s="86">
        <v>0</v>
      </c>
      <c r="O130" s="86">
        <v>329973</v>
      </c>
      <c r="P130" s="86">
        <v>0</v>
      </c>
      <c r="Q130" s="86">
        <v>0</v>
      </c>
      <c r="R130" s="86">
        <v>0</v>
      </c>
      <c r="S130" s="86">
        <v>0</v>
      </c>
      <c r="T130" s="86">
        <v>0</v>
      </c>
      <c r="U130" s="86">
        <v>0</v>
      </c>
      <c r="V130" s="86">
        <v>0</v>
      </c>
      <c r="W130" s="86">
        <v>0</v>
      </c>
      <c r="X130" s="86">
        <v>0</v>
      </c>
      <c r="Y130" s="86">
        <v>0</v>
      </c>
      <c r="Z130" s="86">
        <v>0</v>
      </c>
      <c r="AA130" s="86">
        <v>0</v>
      </c>
      <c r="AB130" s="88">
        <v>2020</v>
      </c>
    </row>
    <row r="131" spans="1:28" s="1" customFormat="1" ht="35.25" customHeight="1">
      <c r="A131" s="1">
        <v>1</v>
      </c>
      <c r="B131" s="38">
        <f>SUBTOTAL(103,$A$11:A131)</f>
        <v>119</v>
      </c>
      <c r="C131" s="82" t="s">
        <v>635</v>
      </c>
      <c r="D131" s="83">
        <f t="shared" si="4"/>
        <v>500731.2</v>
      </c>
      <c r="E131" s="86">
        <v>0</v>
      </c>
      <c r="F131" s="86">
        <v>0</v>
      </c>
      <c r="G131" s="86">
        <v>0</v>
      </c>
      <c r="H131" s="86">
        <v>0</v>
      </c>
      <c r="I131" s="86">
        <v>0</v>
      </c>
      <c r="J131" s="86">
        <v>0</v>
      </c>
      <c r="K131" s="87">
        <v>0</v>
      </c>
      <c r="L131" s="86">
        <v>0</v>
      </c>
      <c r="M131" s="86">
        <v>0</v>
      </c>
      <c r="N131" s="86">
        <v>0</v>
      </c>
      <c r="O131" s="86">
        <v>0</v>
      </c>
      <c r="P131" s="86">
        <v>500731.2</v>
      </c>
      <c r="Q131" s="86">
        <v>0</v>
      </c>
      <c r="R131" s="86">
        <v>0</v>
      </c>
      <c r="S131" s="86">
        <v>0</v>
      </c>
      <c r="T131" s="86">
        <v>0</v>
      </c>
      <c r="U131" s="86">
        <v>0</v>
      </c>
      <c r="V131" s="86">
        <v>0</v>
      </c>
      <c r="W131" s="86">
        <v>0</v>
      </c>
      <c r="X131" s="86">
        <v>0</v>
      </c>
      <c r="Y131" s="86">
        <v>0</v>
      </c>
      <c r="Z131" s="86">
        <v>0</v>
      </c>
      <c r="AA131" s="86">
        <v>0</v>
      </c>
      <c r="AB131" s="88">
        <v>2020</v>
      </c>
    </row>
    <row r="132" spans="1:28" s="1" customFormat="1" ht="35.25" customHeight="1">
      <c r="A132" s="1">
        <v>1</v>
      </c>
      <c r="B132" s="38">
        <f>SUBTOTAL(103,$A$11:A132)</f>
        <v>120</v>
      </c>
      <c r="C132" s="82" t="s">
        <v>636</v>
      </c>
      <c r="D132" s="83">
        <f t="shared" si="4"/>
        <v>169106</v>
      </c>
      <c r="E132" s="86">
        <v>0</v>
      </c>
      <c r="F132" s="86">
        <v>0</v>
      </c>
      <c r="G132" s="86">
        <v>0</v>
      </c>
      <c r="H132" s="86">
        <v>0</v>
      </c>
      <c r="I132" s="86">
        <v>0</v>
      </c>
      <c r="J132" s="86">
        <v>0</v>
      </c>
      <c r="K132" s="87">
        <v>0</v>
      </c>
      <c r="L132" s="86">
        <v>0</v>
      </c>
      <c r="M132" s="86">
        <v>169106</v>
      </c>
      <c r="N132" s="86">
        <v>0</v>
      </c>
      <c r="O132" s="86">
        <v>0</v>
      </c>
      <c r="P132" s="86">
        <v>0</v>
      </c>
      <c r="Q132" s="86">
        <v>0</v>
      </c>
      <c r="R132" s="86">
        <v>0</v>
      </c>
      <c r="S132" s="86">
        <v>0</v>
      </c>
      <c r="T132" s="86">
        <v>0</v>
      </c>
      <c r="U132" s="86">
        <v>0</v>
      </c>
      <c r="V132" s="86">
        <v>0</v>
      </c>
      <c r="W132" s="86">
        <v>0</v>
      </c>
      <c r="X132" s="86">
        <v>0</v>
      </c>
      <c r="Y132" s="86">
        <v>0</v>
      </c>
      <c r="Z132" s="86">
        <v>0</v>
      </c>
      <c r="AA132" s="86">
        <v>0</v>
      </c>
      <c r="AB132" s="88">
        <v>2020</v>
      </c>
    </row>
    <row r="133" spans="1:28" s="1" customFormat="1" ht="35.25" customHeight="1">
      <c r="A133" s="1">
        <v>1</v>
      </c>
      <c r="B133" s="38">
        <f>SUBTOTAL(103,$A$11:A133)</f>
        <v>121</v>
      </c>
      <c r="C133" s="82" t="s">
        <v>447</v>
      </c>
      <c r="D133" s="83">
        <f t="shared" si="4"/>
        <v>221206.97</v>
      </c>
      <c r="E133" s="86">
        <v>0</v>
      </c>
      <c r="F133" s="86">
        <v>159320.97</v>
      </c>
      <c r="G133" s="86">
        <v>0</v>
      </c>
      <c r="H133" s="86">
        <v>0</v>
      </c>
      <c r="I133" s="86">
        <v>0</v>
      </c>
      <c r="J133" s="86">
        <v>0</v>
      </c>
      <c r="K133" s="87">
        <v>2</v>
      </c>
      <c r="L133" s="86">
        <v>61886</v>
      </c>
      <c r="M133" s="86">
        <v>0</v>
      </c>
      <c r="N133" s="86">
        <v>0</v>
      </c>
      <c r="O133" s="86">
        <v>0</v>
      </c>
      <c r="P133" s="86">
        <v>0</v>
      </c>
      <c r="Q133" s="86">
        <v>0</v>
      </c>
      <c r="R133" s="86">
        <v>0</v>
      </c>
      <c r="S133" s="86">
        <v>0</v>
      </c>
      <c r="T133" s="86">
        <v>0</v>
      </c>
      <c r="U133" s="86">
        <v>0</v>
      </c>
      <c r="V133" s="86">
        <v>0</v>
      </c>
      <c r="W133" s="86">
        <v>0</v>
      </c>
      <c r="X133" s="86">
        <v>0</v>
      </c>
      <c r="Y133" s="86">
        <v>0</v>
      </c>
      <c r="Z133" s="86">
        <v>0</v>
      </c>
      <c r="AA133" s="86">
        <v>0</v>
      </c>
      <c r="AB133" s="88">
        <v>2020</v>
      </c>
    </row>
    <row r="134" spans="1:28" s="1" customFormat="1" ht="35.25" customHeight="1">
      <c r="A134" s="1">
        <v>1</v>
      </c>
      <c r="B134" s="38">
        <f>SUBTOTAL(103,$A$11:A134)</f>
        <v>122</v>
      </c>
      <c r="C134" s="82" t="s">
        <v>637</v>
      </c>
      <c r="D134" s="83">
        <f t="shared" si="4"/>
        <v>329415.37</v>
      </c>
      <c r="E134" s="86">
        <v>0</v>
      </c>
      <c r="F134" s="86">
        <v>0</v>
      </c>
      <c r="G134" s="86">
        <v>329415.37</v>
      </c>
      <c r="H134" s="86">
        <v>0</v>
      </c>
      <c r="I134" s="86">
        <v>0</v>
      </c>
      <c r="J134" s="86">
        <v>0</v>
      </c>
      <c r="K134" s="87">
        <v>0</v>
      </c>
      <c r="L134" s="86">
        <v>0</v>
      </c>
      <c r="M134" s="86">
        <v>0</v>
      </c>
      <c r="N134" s="86">
        <v>0</v>
      </c>
      <c r="O134" s="86">
        <v>0</v>
      </c>
      <c r="P134" s="86">
        <v>0</v>
      </c>
      <c r="Q134" s="86">
        <v>0</v>
      </c>
      <c r="R134" s="86">
        <v>0</v>
      </c>
      <c r="S134" s="86">
        <v>0</v>
      </c>
      <c r="T134" s="86">
        <v>0</v>
      </c>
      <c r="U134" s="86">
        <v>0</v>
      </c>
      <c r="V134" s="86">
        <v>0</v>
      </c>
      <c r="W134" s="86">
        <v>0</v>
      </c>
      <c r="X134" s="86">
        <v>0</v>
      </c>
      <c r="Y134" s="86">
        <v>0</v>
      </c>
      <c r="Z134" s="86">
        <v>0</v>
      </c>
      <c r="AA134" s="86">
        <v>0</v>
      </c>
      <c r="AB134" s="88">
        <v>2020</v>
      </c>
    </row>
    <row r="135" spans="1:28" s="1" customFormat="1" ht="35.25" customHeight="1">
      <c r="A135" s="1">
        <v>1</v>
      </c>
      <c r="B135" s="38">
        <f>SUBTOTAL(103,$A$11:A135)</f>
        <v>123</v>
      </c>
      <c r="C135" s="82" t="s">
        <v>638</v>
      </c>
      <c r="D135" s="83">
        <f t="shared" si="4"/>
        <v>354653</v>
      </c>
      <c r="E135" s="86">
        <v>177326.5</v>
      </c>
      <c r="F135" s="86">
        <v>177326.5</v>
      </c>
      <c r="G135" s="86">
        <v>0</v>
      </c>
      <c r="H135" s="86">
        <v>0</v>
      </c>
      <c r="I135" s="86">
        <v>0</v>
      </c>
      <c r="J135" s="86">
        <v>0</v>
      </c>
      <c r="K135" s="87">
        <v>0</v>
      </c>
      <c r="L135" s="86">
        <v>0</v>
      </c>
      <c r="M135" s="86">
        <v>0</v>
      </c>
      <c r="N135" s="86">
        <v>0</v>
      </c>
      <c r="O135" s="86">
        <v>0</v>
      </c>
      <c r="P135" s="86">
        <v>0</v>
      </c>
      <c r="Q135" s="86">
        <v>0</v>
      </c>
      <c r="R135" s="86">
        <v>0</v>
      </c>
      <c r="S135" s="86">
        <v>0</v>
      </c>
      <c r="T135" s="86">
        <v>0</v>
      </c>
      <c r="U135" s="86">
        <v>0</v>
      </c>
      <c r="V135" s="86">
        <v>0</v>
      </c>
      <c r="W135" s="86">
        <v>0</v>
      </c>
      <c r="X135" s="86">
        <v>0</v>
      </c>
      <c r="Y135" s="86">
        <v>0</v>
      </c>
      <c r="Z135" s="86">
        <v>0</v>
      </c>
      <c r="AA135" s="86">
        <v>0</v>
      </c>
      <c r="AB135" s="88">
        <v>2020</v>
      </c>
    </row>
    <row r="136" spans="1:28" s="1" customFormat="1" ht="35.25" customHeight="1">
      <c r="A136" s="1">
        <v>1</v>
      </c>
      <c r="B136" s="38">
        <f>SUBTOTAL(103,$A$11:A136)</f>
        <v>124</v>
      </c>
      <c r="C136" s="82" t="s">
        <v>639</v>
      </c>
      <c r="D136" s="83">
        <f t="shared" si="4"/>
        <v>150000</v>
      </c>
      <c r="E136" s="86">
        <v>0</v>
      </c>
      <c r="F136" s="86">
        <v>0</v>
      </c>
      <c r="G136" s="86">
        <v>0</v>
      </c>
      <c r="H136" s="86">
        <v>0</v>
      </c>
      <c r="I136" s="86">
        <v>150000</v>
      </c>
      <c r="J136" s="86">
        <v>0</v>
      </c>
      <c r="K136" s="87">
        <v>0</v>
      </c>
      <c r="L136" s="86">
        <v>0</v>
      </c>
      <c r="M136" s="86">
        <v>0</v>
      </c>
      <c r="N136" s="86">
        <v>0</v>
      </c>
      <c r="O136" s="86">
        <v>0</v>
      </c>
      <c r="P136" s="86">
        <v>0</v>
      </c>
      <c r="Q136" s="86">
        <v>0</v>
      </c>
      <c r="R136" s="86">
        <v>0</v>
      </c>
      <c r="S136" s="86">
        <v>0</v>
      </c>
      <c r="T136" s="86">
        <v>0</v>
      </c>
      <c r="U136" s="86">
        <v>0</v>
      </c>
      <c r="V136" s="86">
        <v>0</v>
      </c>
      <c r="W136" s="86">
        <v>0</v>
      </c>
      <c r="X136" s="86">
        <v>0</v>
      </c>
      <c r="Y136" s="86">
        <v>0</v>
      </c>
      <c r="Z136" s="86">
        <v>0</v>
      </c>
      <c r="AA136" s="86">
        <v>0</v>
      </c>
      <c r="AB136" s="88">
        <v>2020</v>
      </c>
    </row>
    <row r="137" spans="1:28" s="1" customFormat="1" ht="35.25" customHeight="1">
      <c r="A137" s="1">
        <v>1</v>
      </c>
      <c r="B137" s="38">
        <f>SUBTOTAL(103,$A$11:A137)</f>
        <v>125</v>
      </c>
      <c r="C137" s="82" t="s">
        <v>640</v>
      </c>
      <c r="D137" s="83">
        <f t="shared" si="4"/>
        <v>643266.46</v>
      </c>
      <c r="E137" s="86">
        <v>0</v>
      </c>
      <c r="F137" s="86">
        <v>0</v>
      </c>
      <c r="G137" s="86">
        <v>0</v>
      </c>
      <c r="H137" s="86">
        <v>0</v>
      </c>
      <c r="I137" s="86">
        <v>62413.85</v>
      </c>
      <c r="J137" s="86">
        <v>0</v>
      </c>
      <c r="K137" s="87">
        <v>0</v>
      </c>
      <c r="L137" s="86">
        <v>0</v>
      </c>
      <c r="M137" s="86">
        <v>580852.61</v>
      </c>
      <c r="N137" s="86">
        <v>0</v>
      </c>
      <c r="O137" s="86">
        <v>0</v>
      </c>
      <c r="P137" s="86">
        <v>0</v>
      </c>
      <c r="Q137" s="86">
        <v>0</v>
      </c>
      <c r="R137" s="86">
        <v>0</v>
      </c>
      <c r="S137" s="86">
        <v>0</v>
      </c>
      <c r="T137" s="86">
        <v>0</v>
      </c>
      <c r="U137" s="86">
        <v>0</v>
      </c>
      <c r="V137" s="86">
        <v>0</v>
      </c>
      <c r="W137" s="86">
        <v>0</v>
      </c>
      <c r="X137" s="86">
        <v>0</v>
      </c>
      <c r="Y137" s="86">
        <v>0</v>
      </c>
      <c r="Z137" s="86">
        <v>0</v>
      </c>
      <c r="AA137" s="86">
        <v>0</v>
      </c>
      <c r="AB137" s="88">
        <v>2020</v>
      </c>
    </row>
    <row r="138" spans="1:28" s="1" customFormat="1" ht="35.25" customHeight="1">
      <c r="A138" s="1">
        <v>1</v>
      </c>
      <c r="B138" s="38">
        <f>SUBTOTAL(103,$A$11:A138)</f>
        <v>126</v>
      </c>
      <c r="C138" s="82" t="s">
        <v>641</v>
      </c>
      <c r="D138" s="83">
        <f t="shared" si="4"/>
        <v>254624</v>
      </c>
      <c r="E138" s="86">
        <v>0</v>
      </c>
      <c r="F138" s="86">
        <v>0</v>
      </c>
      <c r="G138" s="86">
        <v>254624</v>
      </c>
      <c r="H138" s="86">
        <v>0</v>
      </c>
      <c r="I138" s="86">
        <v>0</v>
      </c>
      <c r="J138" s="86">
        <v>0</v>
      </c>
      <c r="K138" s="87">
        <v>0</v>
      </c>
      <c r="L138" s="86">
        <v>0</v>
      </c>
      <c r="M138" s="86">
        <v>0</v>
      </c>
      <c r="N138" s="86">
        <v>0</v>
      </c>
      <c r="O138" s="86">
        <v>0</v>
      </c>
      <c r="P138" s="86">
        <v>0</v>
      </c>
      <c r="Q138" s="86">
        <v>0</v>
      </c>
      <c r="R138" s="86">
        <v>0</v>
      </c>
      <c r="S138" s="86">
        <v>0</v>
      </c>
      <c r="T138" s="86">
        <v>0</v>
      </c>
      <c r="U138" s="86">
        <v>0</v>
      </c>
      <c r="V138" s="86">
        <v>0</v>
      </c>
      <c r="W138" s="86">
        <v>0</v>
      </c>
      <c r="X138" s="86">
        <v>0</v>
      </c>
      <c r="Y138" s="86">
        <v>0</v>
      </c>
      <c r="Z138" s="86">
        <v>0</v>
      </c>
      <c r="AA138" s="86">
        <v>0</v>
      </c>
      <c r="AB138" s="88">
        <v>2020</v>
      </c>
    </row>
    <row r="139" spans="1:28" s="1" customFormat="1" ht="35.25" customHeight="1">
      <c r="A139" s="1">
        <v>1</v>
      </c>
      <c r="B139" s="38">
        <f>SUBTOTAL(103,$A$11:A139)</f>
        <v>127</v>
      </c>
      <c r="C139" s="82" t="s">
        <v>642</v>
      </c>
      <c r="D139" s="83">
        <f t="shared" si="4"/>
        <v>259971</v>
      </c>
      <c r="E139" s="86">
        <v>0</v>
      </c>
      <c r="F139" s="86">
        <v>0</v>
      </c>
      <c r="G139" s="86">
        <v>0</v>
      </c>
      <c r="H139" s="86">
        <v>0</v>
      </c>
      <c r="I139" s="86">
        <v>0</v>
      </c>
      <c r="J139" s="86">
        <v>0</v>
      </c>
      <c r="K139" s="87">
        <v>0</v>
      </c>
      <c r="L139" s="86">
        <v>0</v>
      </c>
      <c r="M139" s="86">
        <v>0</v>
      </c>
      <c r="N139" s="86">
        <v>0</v>
      </c>
      <c r="O139" s="86">
        <v>259971</v>
      </c>
      <c r="P139" s="86">
        <v>0</v>
      </c>
      <c r="Q139" s="86">
        <v>0</v>
      </c>
      <c r="R139" s="86">
        <v>0</v>
      </c>
      <c r="S139" s="86">
        <v>0</v>
      </c>
      <c r="T139" s="86">
        <v>0</v>
      </c>
      <c r="U139" s="86">
        <v>0</v>
      </c>
      <c r="V139" s="86">
        <v>0</v>
      </c>
      <c r="W139" s="86">
        <v>0</v>
      </c>
      <c r="X139" s="86">
        <v>0</v>
      </c>
      <c r="Y139" s="86">
        <v>0</v>
      </c>
      <c r="Z139" s="86">
        <v>0</v>
      </c>
      <c r="AA139" s="86">
        <v>0</v>
      </c>
      <c r="AB139" s="88">
        <v>2020</v>
      </c>
    </row>
    <row r="140" spans="1:28" s="1" customFormat="1" ht="35.25" customHeight="1">
      <c r="A140" s="1">
        <v>1</v>
      </c>
      <c r="B140" s="38">
        <f>SUBTOTAL(103,$A$11:A140)</f>
        <v>128</v>
      </c>
      <c r="C140" s="82" t="s">
        <v>643</v>
      </c>
      <c r="D140" s="83">
        <f t="shared" si="4"/>
        <v>682180.8</v>
      </c>
      <c r="E140" s="86">
        <v>0</v>
      </c>
      <c r="F140" s="86">
        <v>0</v>
      </c>
      <c r="G140" s="86">
        <v>0</v>
      </c>
      <c r="H140" s="86">
        <v>0</v>
      </c>
      <c r="I140" s="86">
        <v>0</v>
      </c>
      <c r="J140" s="86">
        <v>0</v>
      </c>
      <c r="K140" s="87">
        <v>0</v>
      </c>
      <c r="L140" s="86">
        <v>0</v>
      </c>
      <c r="M140" s="86">
        <v>0</v>
      </c>
      <c r="N140" s="86">
        <v>0</v>
      </c>
      <c r="O140" s="86">
        <v>682180.8</v>
      </c>
      <c r="P140" s="86">
        <v>0</v>
      </c>
      <c r="Q140" s="86">
        <v>0</v>
      </c>
      <c r="R140" s="86">
        <v>0</v>
      </c>
      <c r="S140" s="86">
        <v>0</v>
      </c>
      <c r="T140" s="86">
        <v>0</v>
      </c>
      <c r="U140" s="86">
        <v>0</v>
      </c>
      <c r="V140" s="86">
        <v>0</v>
      </c>
      <c r="W140" s="86">
        <v>0</v>
      </c>
      <c r="X140" s="86">
        <v>0</v>
      </c>
      <c r="Y140" s="86">
        <v>0</v>
      </c>
      <c r="Z140" s="86">
        <v>0</v>
      </c>
      <c r="AA140" s="86">
        <v>0</v>
      </c>
      <c r="AB140" s="88">
        <v>2020</v>
      </c>
    </row>
    <row r="141" spans="1:28" s="1" customFormat="1" ht="35.25" customHeight="1">
      <c r="A141" s="1">
        <v>1</v>
      </c>
      <c r="B141" s="38">
        <f>SUBTOTAL(103,$A$11:A141)</f>
        <v>129</v>
      </c>
      <c r="C141" s="82" t="s">
        <v>425</v>
      </c>
      <c r="D141" s="83">
        <f t="shared" si="4"/>
        <v>7398819</v>
      </c>
      <c r="E141" s="86">
        <v>0</v>
      </c>
      <c r="F141" s="86">
        <v>0</v>
      </c>
      <c r="G141" s="86">
        <v>0</v>
      </c>
      <c r="H141" s="86">
        <v>0</v>
      </c>
      <c r="I141" s="86">
        <v>0</v>
      </c>
      <c r="J141" s="86">
        <v>0</v>
      </c>
      <c r="K141" s="87">
        <v>7</v>
      </c>
      <c r="L141" s="86">
        <v>1200000</v>
      </c>
      <c r="M141" s="86">
        <v>4954168</v>
      </c>
      <c r="N141" s="86">
        <v>0</v>
      </c>
      <c r="O141" s="86">
        <v>1244651</v>
      </c>
      <c r="P141" s="86">
        <v>0</v>
      </c>
      <c r="Q141" s="86">
        <v>0</v>
      </c>
      <c r="R141" s="86">
        <v>0</v>
      </c>
      <c r="S141" s="86">
        <v>0</v>
      </c>
      <c r="T141" s="86">
        <v>0</v>
      </c>
      <c r="U141" s="86">
        <v>0</v>
      </c>
      <c r="V141" s="86">
        <v>0</v>
      </c>
      <c r="W141" s="86">
        <v>0</v>
      </c>
      <c r="X141" s="86">
        <v>0</v>
      </c>
      <c r="Y141" s="86">
        <v>0</v>
      </c>
      <c r="Z141" s="86">
        <v>0</v>
      </c>
      <c r="AA141" s="86">
        <v>0</v>
      </c>
      <c r="AB141" s="88">
        <v>2020</v>
      </c>
    </row>
    <row r="142" spans="1:28" s="1" customFormat="1" ht="35.25" customHeight="1">
      <c r="A142" s="1">
        <v>1</v>
      </c>
      <c r="B142" s="38">
        <f>SUBTOTAL(103,$A$11:A142)</f>
        <v>130</v>
      </c>
      <c r="C142" s="82" t="s">
        <v>644</v>
      </c>
      <c r="D142" s="83">
        <f t="shared" si="4"/>
        <v>1079600</v>
      </c>
      <c r="E142" s="86">
        <v>0</v>
      </c>
      <c r="F142" s="86">
        <v>0</v>
      </c>
      <c r="G142" s="86">
        <v>0</v>
      </c>
      <c r="H142" s="86">
        <v>0</v>
      </c>
      <c r="I142" s="86">
        <v>0</v>
      </c>
      <c r="J142" s="86">
        <v>0</v>
      </c>
      <c r="K142" s="87">
        <v>0</v>
      </c>
      <c r="L142" s="86">
        <v>0</v>
      </c>
      <c r="M142" s="86">
        <v>1079600</v>
      </c>
      <c r="N142" s="86">
        <v>0</v>
      </c>
      <c r="O142" s="86">
        <v>0</v>
      </c>
      <c r="P142" s="86">
        <v>0</v>
      </c>
      <c r="Q142" s="86">
        <v>0</v>
      </c>
      <c r="R142" s="86">
        <v>0</v>
      </c>
      <c r="S142" s="86">
        <v>0</v>
      </c>
      <c r="T142" s="86">
        <v>0</v>
      </c>
      <c r="U142" s="86">
        <v>0</v>
      </c>
      <c r="V142" s="86">
        <v>0</v>
      </c>
      <c r="W142" s="86">
        <v>0</v>
      </c>
      <c r="X142" s="86">
        <v>0</v>
      </c>
      <c r="Y142" s="86">
        <v>0</v>
      </c>
      <c r="Z142" s="86">
        <v>0</v>
      </c>
      <c r="AA142" s="86">
        <v>0</v>
      </c>
      <c r="AB142" s="88">
        <v>2020</v>
      </c>
    </row>
    <row r="143" spans="1:28" s="1" customFormat="1" ht="35.25" customHeight="1">
      <c r="A143" s="1">
        <v>1</v>
      </c>
      <c r="B143" s="38">
        <f>SUBTOTAL(103,$A$11:A143)</f>
        <v>131</v>
      </c>
      <c r="C143" s="82" t="s">
        <v>645</v>
      </c>
      <c r="D143" s="83">
        <f t="shared" si="4"/>
        <v>285704</v>
      </c>
      <c r="E143" s="86">
        <v>0</v>
      </c>
      <c r="F143" s="86">
        <v>0</v>
      </c>
      <c r="G143" s="86">
        <v>0</v>
      </c>
      <c r="H143" s="86">
        <v>0</v>
      </c>
      <c r="I143" s="86">
        <v>0</v>
      </c>
      <c r="J143" s="86">
        <v>0</v>
      </c>
      <c r="K143" s="87">
        <v>0</v>
      </c>
      <c r="L143" s="86">
        <v>0</v>
      </c>
      <c r="M143" s="86">
        <v>0</v>
      </c>
      <c r="N143" s="86">
        <v>68000</v>
      </c>
      <c r="O143" s="86">
        <v>217704</v>
      </c>
      <c r="P143" s="86">
        <v>0</v>
      </c>
      <c r="Q143" s="86">
        <v>0</v>
      </c>
      <c r="R143" s="86">
        <v>0</v>
      </c>
      <c r="S143" s="86">
        <v>0</v>
      </c>
      <c r="T143" s="86">
        <v>0</v>
      </c>
      <c r="U143" s="86">
        <v>0</v>
      </c>
      <c r="V143" s="86">
        <v>0</v>
      </c>
      <c r="W143" s="86">
        <v>0</v>
      </c>
      <c r="X143" s="86">
        <v>0</v>
      </c>
      <c r="Y143" s="86">
        <v>0</v>
      </c>
      <c r="Z143" s="86">
        <v>0</v>
      </c>
      <c r="AA143" s="86">
        <v>0</v>
      </c>
      <c r="AB143" s="88">
        <v>2020</v>
      </c>
    </row>
    <row r="144" spans="1:28" s="1" customFormat="1" ht="35.25" customHeight="1">
      <c r="A144" s="1">
        <v>1</v>
      </c>
      <c r="B144" s="38">
        <f>SUBTOTAL(103,$A$11:A144)</f>
        <v>132</v>
      </c>
      <c r="C144" s="82" t="s">
        <v>646</v>
      </c>
      <c r="D144" s="83">
        <f t="shared" si="4"/>
        <v>165037</v>
      </c>
      <c r="E144" s="86">
        <v>0</v>
      </c>
      <c r="F144" s="86">
        <v>165037</v>
      </c>
      <c r="G144" s="86">
        <v>0</v>
      </c>
      <c r="H144" s="86">
        <v>0</v>
      </c>
      <c r="I144" s="86">
        <v>0</v>
      </c>
      <c r="J144" s="86">
        <v>0</v>
      </c>
      <c r="K144" s="87">
        <v>0</v>
      </c>
      <c r="L144" s="86">
        <v>0</v>
      </c>
      <c r="M144" s="86">
        <v>0</v>
      </c>
      <c r="N144" s="86">
        <v>0</v>
      </c>
      <c r="O144" s="86">
        <v>0</v>
      </c>
      <c r="P144" s="86">
        <v>0</v>
      </c>
      <c r="Q144" s="86">
        <v>0</v>
      </c>
      <c r="R144" s="86">
        <v>0</v>
      </c>
      <c r="S144" s="86">
        <v>0</v>
      </c>
      <c r="T144" s="86">
        <v>0</v>
      </c>
      <c r="U144" s="86">
        <v>0</v>
      </c>
      <c r="V144" s="86">
        <v>0</v>
      </c>
      <c r="W144" s="86">
        <v>0</v>
      </c>
      <c r="X144" s="86">
        <v>0</v>
      </c>
      <c r="Y144" s="86">
        <v>0</v>
      </c>
      <c r="Z144" s="86">
        <v>0</v>
      </c>
      <c r="AA144" s="86">
        <v>0</v>
      </c>
      <c r="AB144" s="88">
        <v>2020</v>
      </c>
    </row>
    <row r="145" spans="1:28" s="1" customFormat="1" ht="35.25" customHeight="1">
      <c r="A145" s="1">
        <v>1</v>
      </c>
      <c r="B145" s="38">
        <f>SUBTOTAL(103,$A$11:A145)</f>
        <v>133</v>
      </c>
      <c r="C145" s="82" t="s">
        <v>647</v>
      </c>
      <c r="D145" s="83">
        <f t="shared" si="4"/>
        <v>589000</v>
      </c>
      <c r="E145" s="86">
        <v>0</v>
      </c>
      <c r="F145" s="86">
        <v>0</v>
      </c>
      <c r="G145" s="86">
        <v>0</v>
      </c>
      <c r="H145" s="86">
        <v>0</v>
      </c>
      <c r="I145" s="86">
        <v>589000</v>
      </c>
      <c r="J145" s="86">
        <v>0</v>
      </c>
      <c r="K145" s="87">
        <v>0</v>
      </c>
      <c r="L145" s="86">
        <v>0</v>
      </c>
      <c r="M145" s="86">
        <v>0</v>
      </c>
      <c r="N145" s="86">
        <v>0</v>
      </c>
      <c r="O145" s="86">
        <v>0</v>
      </c>
      <c r="P145" s="86">
        <v>0</v>
      </c>
      <c r="Q145" s="86">
        <v>0</v>
      </c>
      <c r="R145" s="86">
        <v>0</v>
      </c>
      <c r="S145" s="86">
        <v>0</v>
      </c>
      <c r="T145" s="86">
        <v>0</v>
      </c>
      <c r="U145" s="86">
        <v>0</v>
      </c>
      <c r="V145" s="86">
        <v>0</v>
      </c>
      <c r="W145" s="86">
        <v>0</v>
      </c>
      <c r="X145" s="86">
        <v>0</v>
      </c>
      <c r="Y145" s="86">
        <v>0</v>
      </c>
      <c r="Z145" s="86">
        <v>0</v>
      </c>
      <c r="AA145" s="86">
        <v>0</v>
      </c>
      <c r="AB145" s="88">
        <v>2020</v>
      </c>
    </row>
    <row r="146" spans="1:28" s="1" customFormat="1" ht="35.25" customHeight="1">
      <c r="A146" s="1">
        <v>1</v>
      </c>
      <c r="B146" s="38">
        <f>SUBTOTAL(103,$A$11:A146)</f>
        <v>134</v>
      </c>
      <c r="C146" s="82" t="s">
        <v>648</v>
      </c>
      <c r="D146" s="83">
        <f t="shared" si="4"/>
        <v>906097.15999999992</v>
      </c>
      <c r="E146" s="86">
        <v>0</v>
      </c>
      <c r="F146" s="86">
        <v>89686.6</v>
      </c>
      <c r="G146" s="86">
        <v>538073.86</v>
      </c>
      <c r="H146" s="86">
        <v>278336.7</v>
      </c>
      <c r="I146" s="86">
        <v>0</v>
      </c>
      <c r="J146" s="86">
        <v>0</v>
      </c>
      <c r="K146" s="87">
        <v>0</v>
      </c>
      <c r="L146" s="86">
        <v>0</v>
      </c>
      <c r="M146" s="86">
        <v>0</v>
      </c>
      <c r="N146" s="86">
        <v>0</v>
      </c>
      <c r="O146" s="86">
        <v>0</v>
      </c>
      <c r="P146" s="86">
        <v>0</v>
      </c>
      <c r="Q146" s="86">
        <v>0</v>
      </c>
      <c r="R146" s="86">
        <v>0</v>
      </c>
      <c r="S146" s="86">
        <v>0</v>
      </c>
      <c r="T146" s="86">
        <v>0</v>
      </c>
      <c r="U146" s="86">
        <v>0</v>
      </c>
      <c r="V146" s="86">
        <v>0</v>
      </c>
      <c r="W146" s="86">
        <v>0</v>
      </c>
      <c r="X146" s="86">
        <v>0</v>
      </c>
      <c r="Y146" s="86">
        <v>0</v>
      </c>
      <c r="Z146" s="86">
        <v>0</v>
      </c>
      <c r="AA146" s="86">
        <v>0</v>
      </c>
      <c r="AB146" s="88">
        <v>2020</v>
      </c>
    </row>
    <row r="147" spans="1:28" s="1" customFormat="1" ht="35.25" customHeight="1">
      <c r="A147" s="1">
        <v>1</v>
      </c>
      <c r="B147" s="38">
        <f>SUBTOTAL(103,$A$11:A147)</f>
        <v>135</v>
      </c>
      <c r="C147" s="82" t="s">
        <v>649</v>
      </c>
      <c r="D147" s="83">
        <f t="shared" si="4"/>
        <v>322432.34999999998</v>
      </c>
      <c r="E147" s="86">
        <v>0</v>
      </c>
      <c r="F147" s="86">
        <v>0</v>
      </c>
      <c r="G147" s="86">
        <v>0</v>
      </c>
      <c r="H147" s="86">
        <v>0</v>
      </c>
      <c r="I147" s="86">
        <v>0</v>
      </c>
      <c r="J147" s="86">
        <v>0</v>
      </c>
      <c r="K147" s="87">
        <v>0</v>
      </c>
      <c r="L147" s="86">
        <v>0</v>
      </c>
      <c r="M147" s="86">
        <v>322432.34999999998</v>
      </c>
      <c r="N147" s="86">
        <v>0</v>
      </c>
      <c r="O147" s="86">
        <v>0</v>
      </c>
      <c r="P147" s="86">
        <v>0</v>
      </c>
      <c r="Q147" s="86">
        <v>0</v>
      </c>
      <c r="R147" s="86">
        <v>0</v>
      </c>
      <c r="S147" s="86">
        <v>0</v>
      </c>
      <c r="T147" s="86">
        <v>0</v>
      </c>
      <c r="U147" s="86">
        <v>0</v>
      </c>
      <c r="V147" s="86">
        <v>0</v>
      </c>
      <c r="W147" s="86">
        <v>0</v>
      </c>
      <c r="X147" s="86">
        <v>0</v>
      </c>
      <c r="Y147" s="86">
        <v>0</v>
      </c>
      <c r="Z147" s="86">
        <v>0</v>
      </c>
      <c r="AA147" s="86">
        <v>0</v>
      </c>
      <c r="AB147" s="88">
        <v>2020</v>
      </c>
    </row>
    <row r="148" spans="1:28" s="1" customFormat="1" ht="35.25" customHeight="1">
      <c r="A148" s="1">
        <v>1</v>
      </c>
      <c r="B148" s="38">
        <f>SUBTOTAL(103,$A$11:A148)</f>
        <v>136</v>
      </c>
      <c r="C148" s="82" t="s">
        <v>650</v>
      </c>
      <c r="D148" s="83">
        <f t="shared" si="4"/>
        <v>64270.13</v>
      </c>
      <c r="E148" s="86">
        <v>0</v>
      </c>
      <c r="F148" s="86">
        <v>0</v>
      </c>
      <c r="G148" s="86">
        <v>64270.13</v>
      </c>
      <c r="H148" s="86">
        <v>0</v>
      </c>
      <c r="I148" s="86">
        <v>0</v>
      </c>
      <c r="J148" s="86">
        <v>0</v>
      </c>
      <c r="K148" s="87">
        <v>0</v>
      </c>
      <c r="L148" s="86">
        <v>0</v>
      </c>
      <c r="M148" s="86">
        <v>0</v>
      </c>
      <c r="N148" s="86">
        <v>0</v>
      </c>
      <c r="O148" s="86">
        <v>0</v>
      </c>
      <c r="P148" s="86">
        <v>0</v>
      </c>
      <c r="Q148" s="86">
        <v>0</v>
      </c>
      <c r="R148" s="86">
        <v>0</v>
      </c>
      <c r="S148" s="86">
        <v>0</v>
      </c>
      <c r="T148" s="86">
        <v>0</v>
      </c>
      <c r="U148" s="86">
        <v>0</v>
      </c>
      <c r="V148" s="86">
        <v>0</v>
      </c>
      <c r="W148" s="86">
        <v>0</v>
      </c>
      <c r="X148" s="86">
        <v>0</v>
      </c>
      <c r="Y148" s="86">
        <v>0</v>
      </c>
      <c r="Z148" s="86">
        <v>0</v>
      </c>
      <c r="AA148" s="86">
        <v>0</v>
      </c>
      <c r="AB148" s="88">
        <v>2020</v>
      </c>
    </row>
    <row r="149" spans="1:28" s="1" customFormat="1" ht="35.25" customHeight="1">
      <c r="A149" s="1">
        <v>1</v>
      </c>
      <c r="B149" s="38">
        <f>SUBTOTAL(103,$A$11:A149)</f>
        <v>137</v>
      </c>
      <c r="C149" s="82" t="s">
        <v>651</v>
      </c>
      <c r="D149" s="83">
        <f t="shared" si="4"/>
        <v>512800</v>
      </c>
      <c r="E149" s="86">
        <v>0</v>
      </c>
      <c r="F149" s="86">
        <v>0</v>
      </c>
      <c r="G149" s="86">
        <v>0</v>
      </c>
      <c r="H149" s="86">
        <v>0</v>
      </c>
      <c r="I149" s="86">
        <v>0</v>
      </c>
      <c r="J149" s="86">
        <v>0</v>
      </c>
      <c r="K149" s="87">
        <v>0</v>
      </c>
      <c r="L149" s="86">
        <v>0</v>
      </c>
      <c r="M149" s="86">
        <v>0</v>
      </c>
      <c r="N149" s="86">
        <v>0</v>
      </c>
      <c r="O149" s="86">
        <v>512800</v>
      </c>
      <c r="P149" s="86">
        <v>0</v>
      </c>
      <c r="Q149" s="86">
        <v>0</v>
      </c>
      <c r="R149" s="86">
        <v>0</v>
      </c>
      <c r="S149" s="86">
        <v>0</v>
      </c>
      <c r="T149" s="86">
        <v>0</v>
      </c>
      <c r="U149" s="86">
        <v>0</v>
      </c>
      <c r="V149" s="86">
        <v>0</v>
      </c>
      <c r="W149" s="86">
        <v>0</v>
      </c>
      <c r="X149" s="86">
        <v>0</v>
      </c>
      <c r="Y149" s="86">
        <v>0</v>
      </c>
      <c r="Z149" s="86">
        <v>0</v>
      </c>
      <c r="AA149" s="86">
        <v>0</v>
      </c>
      <c r="AB149" s="88">
        <v>2020</v>
      </c>
    </row>
    <row r="150" spans="1:28" s="1" customFormat="1" ht="35.25" customHeight="1">
      <c r="A150" s="1">
        <v>1</v>
      </c>
      <c r="B150" s="38">
        <f>SUBTOTAL(103,$A$11:A150)</f>
        <v>138</v>
      </c>
      <c r="C150" s="82" t="s">
        <v>652</v>
      </c>
      <c r="D150" s="83">
        <f t="shared" si="4"/>
        <v>92047.5</v>
      </c>
      <c r="E150" s="86">
        <v>0</v>
      </c>
      <c r="F150" s="86">
        <v>0</v>
      </c>
      <c r="G150" s="86">
        <v>0</v>
      </c>
      <c r="H150" s="86">
        <v>0</v>
      </c>
      <c r="I150" s="86">
        <v>0</v>
      </c>
      <c r="J150" s="86">
        <v>0</v>
      </c>
      <c r="K150" s="87">
        <v>0</v>
      </c>
      <c r="L150" s="86">
        <v>0</v>
      </c>
      <c r="M150" s="86">
        <v>0</v>
      </c>
      <c r="N150" s="86">
        <v>55807.5</v>
      </c>
      <c r="O150" s="86">
        <v>36240</v>
      </c>
      <c r="P150" s="86">
        <v>0</v>
      </c>
      <c r="Q150" s="86">
        <v>0</v>
      </c>
      <c r="R150" s="86">
        <v>0</v>
      </c>
      <c r="S150" s="86">
        <v>0</v>
      </c>
      <c r="T150" s="86">
        <v>0</v>
      </c>
      <c r="U150" s="86">
        <v>0</v>
      </c>
      <c r="V150" s="86">
        <v>0</v>
      </c>
      <c r="W150" s="86">
        <v>0</v>
      </c>
      <c r="X150" s="86">
        <v>0</v>
      </c>
      <c r="Y150" s="86">
        <v>0</v>
      </c>
      <c r="Z150" s="86">
        <v>0</v>
      </c>
      <c r="AA150" s="86">
        <v>0</v>
      </c>
      <c r="AB150" s="88">
        <v>2020</v>
      </c>
    </row>
    <row r="151" spans="1:28" s="1" customFormat="1" ht="35.25" customHeight="1">
      <c r="A151" s="1">
        <v>1</v>
      </c>
      <c r="B151" s="38">
        <f>SUBTOTAL(103,$A$11:A151)</f>
        <v>139</v>
      </c>
      <c r="C151" s="82" t="s">
        <v>653</v>
      </c>
      <c r="D151" s="83">
        <f t="shared" si="4"/>
        <v>96754</v>
      </c>
      <c r="E151" s="86">
        <v>48377</v>
      </c>
      <c r="F151" s="86">
        <v>48377</v>
      </c>
      <c r="G151" s="86">
        <v>0</v>
      </c>
      <c r="H151" s="86">
        <v>0</v>
      </c>
      <c r="I151" s="86">
        <v>0</v>
      </c>
      <c r="J151" s="86">
        <v>0</v>
      </c>
      <c r="K151" s="87">
        <v>0</v>
      </c>
      <c r="L151" s="86">
        <v>0</v>
      </c>
      <c r="M151" s="86">
        <v>0</v>
      </c>
      <c r="N151" s="86">
        <v>0</v>
      </c>
      <c r="O151" s="86">
        <v>0</v>
      </c>
      <c r="P151" s="86">
        <v>0</v>
      </c>
      <c r="Q151" s="86">
        <v>0</v>
      </c>
      <c r="R151" s="86">
        <v>0</v>
      </c>
      <c r="S151" s="86">
        <v>0</v>
      </c>
      <c r="T151" s="86">
        <v>0</v>
      </c>
      <c r="U151" s="86">
        <v>0</v>
      </c>
      <c r="V151" s="86">
        <v>0</v>
      </c>
      <c r="W151" s="86">
        <v>0</v>
      </c>
      <c r="X151" s="86">
        <v>0</v>
      </c>
      <c r="Y151" s="86">
        <v>0</v>
      </c>
      <c r="Z151" s="86">
        <v>0</v>
      </c>
      <c r="AA151" s="86">
        <v>0</v>
      </c>
      <c r="AB151" s="88">
        <v>2020</v>
      </c>
    </row>
    <row r="152" spans="1:28" s="1" customFormat="1" ht="35.25" customHeight="1">
      <c r="A152" s="1">
        <v>1</v>
      </c>
      <c r="B152" s="38">
        <f>SUBTOTAL(103,$A$11:A152)</f>
        <v>140</v>
      </c>
      <c r="C152" s="82" t="s">
        <v>654</v>
      </c>
      <c r="D152" s="83">
        <f t="shared" si="4"/>
        <v>143710.21</v>
      </c>
      <c r="E152" s="86">
        <v>143710.21</v>
      </c>
      <c r="F152" s="86">
        <v>0</v>
      </c>
      <c r="G152" s="86">
        <v>0</v>
      </c>
      <c r="H152" s="86">
        <v>0</v>
      </c>
      <c r="I152" s="86">
        <v>0</v>
      </c>
      <c r="J152" s="86">
        <v>0</v>
      </c>
      <c r="K152" s="87">
        <v>0</v>
      </c>
      <c r="L152" s="86">
        <v>0</v>
      </c>
      <c r="M152" s="86">
        <v>0</v>
      </c>
      <c r="N152" s="86">
        <v>0</v>
      </c>
      <c r="O152" s="86">
        <v>0</v>
      </c>
      <c r="P152" s="86">
        <v>0</v>
      </c>
      <c r="Q152" s="86">
        <v>0</v>
      </c>
      <c r="R152" s="86">
        <v>0</v>
      </c>
      <c r="S152" s="86">
        <v>0</v>
      </c>
      <c r="T152" s="86">
        <v>0</v>
      </c>
      <c r="U152" s="86">
        <v>0</v>
      </c>
      <c r="V152" s="86">
        <v>0</v>
      </c>
      <c r="W152" s="86">
        <v>0</v>
      </c>
      <c r="X152" s="86">
        <v>0</v>
      </c>
      <c r="Y152" s="86">
        <v>0</v>
      </c>
      <c r="Z152" s="86">
        <v>0</v>
      </c>
      <c r="AA152" s="86">
        <v>0</v>
      </c>
      <c r="AB152" s="88">
        <v>2020</v>
      </c>
    </row>
    <row r="153" spans="1:28" s="1" customFormat="1" ht="35.25" customHeight="1">
      <c r="A153" s="1">
        <v>1</v>
      </c>
      <c r="B153" s="38">
        <f>SUBTOTAL(103,$A$11:A153)</f>
        <v>141</v>
      </c>
      <c r="C153" s="82" t="s">
        <v>655</v>
      </c>
      <c r="D153" s="83">
        <f t="shared" si="4"/>
        <v>129672.73</v>
      </c>
      <c r="E153" s="86">
        <v>0</v>
      </c>
      <c r="F153" s="86">
        <v>0</v>
      </c>
      <c r="G153" s="86">
        <v>0</v>
      </c>
      <c r="H153" s="86">
        <v>0</v>
      </c>
      <c r="I153" s="86">
        <v>0</v>
      </c>
      <c r="J153" s="86">
        <v>0</v>
      </c>
      <c r="K153" s="87">
        <v>0</v>
      </c>
      <c r="L153" s="86">
        <v>0</v>
      </c>
      <c r="M153" s="86">
        <v>0</v>
      </c>
      <c r="N153" s="86">
        <v>0</v>
      </c>
      <c r="O153" s="86">
        <v>129672.73</v>
      </c>
      <c r="P153" s="86">
        <v>0</v>
      </c>
      <c r="Q153" s="86">
        <v>0</v>
      </c>
      <c r="R153" s="86">
        <v>0</v>
      </c>
      <c r="S153" s="86">
        <v>0</v>
      </c>
      <c r="T153" s="86">
        <v>0</v>
      </c>
      <c r="U153" s="86">
        <v>0</v>
      </c>
      <c r="V153" s="86">
        <v>0</v>
      </c>
      <c r="W153" s="86">
        <v>0</v>
      </c>
      <c r="X153" s="86">
        <v>0</v>
      </c>
      <c r="Y153" s="86">
        <v>0</v>
      </c>
      <c r="Z153" s="86">
        <v>0</v>
      </c>
      <c r="AA153" s="86">
        <v>0</v>
      </c>
      <c r="AB153" s="88">
        <v>2020</v>
      </c>
    </row>
    <row r="154" spans="1:28" s="1" customFormat="1" ht="35.25" customHeight="1">
      <c r="A154" s="1">
        <v>1</v>
      </c>
      <c r="B154" s="38">
        <f>SUBTOTAL(103,$A$11:A154)</f>
        <v>142</v>
      </c>
      <c r="C154" s="82" t="s">
        <v>656</v>
      </c>
      <c r="D154" s="83">
        <f t="shared" si="4"/>
        <v>338000</v>
      </c>
      <c r="E154" s="86">
        <v>0</v>
      </c>
      <c r="F154" s="86">
        <v>0</v>
      </c>
      <c r="G154" s="86">
        <v>0</v>
      </c>
      <c r="H154" s="86">
        <v>0</v>
      </c>
      <c r="I154" s="86">
        <v>0</v>
      </c>
      <c r="J154" s="86">
        <v>0</v>
      </c>
      <c r="K154" s="87">
        <v>0</v>
      </c>
      <c r="L154" s="86">
        <v>0</v>
      </c>
      <c r="M154" s="86">
        <v>0</v>
      </c>
      <c r="N154" s="86">
        <v>0</v>
      </c>
      <c r="O154" s="86">
        <v>338000</v>
      </c>
      <c r="P154" s="86">
        <v>0</v>
      </c>
      <c r="Q154" s="86">
        <v>0</v>
      </c>
      <c r="R154" s="86">
        <v>0</v>
      </c>
      <c r="S154" s="86">
        <v>0</v>
      </c>
      <c r="T154" s="86">
        <v>0</v>
      </c>
      <c r="U154" s="86">
        <v>0</v>
      </c>
      <c r="V154" s="86">
        <v>0</v>
      </c>
      <c r="W154" s="86">
        <v>0</v>
      </c>
      <c r="X154" s="86">
        <v>0</v>
      </c>
      <c r="Y154" s="86">
        <v>0</v>
      </c>
      <c r="Z154" s="86">
        <v>0</v>
      </c>
      <c r="AA154" s="86">
        <v>0</v>
      </c>
      <c r="AB154" s="88">
        <v>2020</v>
      </c>
    </row>
    <row r="155" spans="1:28" s="1" customFormat="1" ht="35.25" customHeight="1">
      <c r="A155" s="1">
        <v>1</v>
      </c>
      <c r="B155" s="38">
        <f>SUBTOTAL(103,$A$11:A155)</f>
        <v>143</v>
      </c>
      <c r="C155" s="82" t="s">
        <v>657</v>
      </c>
      <c r="D155" s="83">
        <f t="shared" si="4"/>
        <v>56014</v>
      </c>
      <c r="E155" s="86">
        <v>0</v>
      </c>
      <c r="F155" s="86">
        <v>0</v>
      </c>
      <c r="G155" s="86">
        <v>0</v>
      </c>
      <c r="H155" s="86">
        <v>0</v>
      </c>
      <c r="I155" s="86">
        <v>0</v>
      </c>
      <c r="J155" s="86">
        <v>0</v>
      </c>
      <c r="K155" s="87">
        <v>0</v>
      </c>
      <c r="L155" s="86">
        <v>0</v>
      </c>
      <c r="M155" s="86">
        <v>0</v>
      </c>
      <c r="N155" s="86">
        <v>0</v>
      </c>
      <c r="O155" s="86">
        <v>56014</v>
      </c>
      <c r="P155" s="86">
        <v>0</v>
      </c>
      <c r="Q155" s="86">
        <v>0</v>
      </c>
      <c r="R155" s="86">
        <v>0</v>
      </c>
      <c r="S155" s="86">
        <v>0</v>
      </c>
      <c r="T155" s="86">
        <v>0</v>
      </c>
      <c r="U155" s="86">
        <v>0</v>
      </c>
      <c r="V155" s="86">
        <v>0</v>
      </c>
      <c r="W155" s="86">
        <v>0</v>
      </c>
      <c r="X155" s="86">
        <v>0</v>
      </c>
      <c r="Y155" s="86">
        <v>0</v>
      </c>
      <c r="Z155" s="86">
        <v>0</v>
      </c>
      <c r="AA155" s="86">
        <v>0</v>
      </c>
      <c r="AB155" s="88">
        <v>2020</v>
      </c>
    </row>
    <row r="156" spans="1:28" s="1" customFormat="1" ht="35.25" customHeight="1">
      <c r="A156" s="1">
        <v>1</v>
      </c>
      <c r="B156" s="38">
        <f>SUBTOTAL(103,$A$11:A156)</f>
        <v>144</v>
      </c>
      <c r="C156" s="82" t="s">
        <v>658</v>
      </c>
      <c r="D156" s="83">
        <f t="shared" si="4"/>
        <v>1050000</v>
      </c>
      <c r="E156" s="86">
        <v>0</v>
      </c>
      <c r="F156" s="86">
        <v>0</v>
      </c>
      <c r="G156" s="86">
        <v>0</v>
      </c>
      <c r="H156" s="86">
        <v>0</v>
      </c>
      <c r="I156" s="86">
        <v>0</v>
      </c>
      <c r="J156" s="86">
        <v>0</v>
      </c>
      <c r="K156" s="87">
        <v>0</v>
      </c>
      <c r="L156" s="86">
        <v>0</v>
      </c>
      <c r="M156" s="86">
        <v>1050000</v>
      </c>
      <c r="N156" s="86">
        <v>0</v>
      </c>
      <c r="O156" s="86">
        <v>0</v>
      </c>
      <c r="P156" s="86">
        <v>0</v>
      </c>
      <c r="Q156" s="86">
        <v>0</v>
      </c>
      <c r="R156" s="86">
        <v>0</v>
      </c>
      <c r="S156" s="86">
        <v>0</v>
      </c>
      <c r="T156" s="86">
        <v>0</v>
      </c>
      <c r="U156" s="86">
        <v>0</v>
      </c>
      <c r="V156" s="86">
        <v>0</v>
      </c>
      <c r="W156" s="86">
        <v>0</v>
      </c>
      <c r="X156" s="86">
        <v>0</v>
      </c>
      <c r="Y156" s="86">
        <v>0</v>
      </c>
      <c r="Z156" s="86">
        <v>0</v>
      </c>
      <c r="AA156" s="86">
        <v>0</v>
      </c>
      <c r="AB156" s="88">
        <v>2020</v>
      </c>
    </row>
    <row r="157" spans="1:28" s="1" customFormat="1" ht="35.25" customHeight="1">
      <c r="A157" s="1">
        <v>1</v>
      </c>
      <c r="B157" s="38">
        <f>SUBTOTAL(103,$A$11:A157)</f>
        <v>145</v>
      </c>
      <c r="C157" s="82" t="s">
        <v>659</v>
      </c>
      <c r="D157" s="83">
        <f t="shared" si="4"/>
        <v>533500</v>
      </c>
      <c r="E157" s="86">
        <v>0</v>
      </c>
      <c r="F157" s="86">
        <v>0</v>
      </c>
      <c r="G157" s="86">
        <v>0</v>
      </c>
      <c r="H157" s="86">
        <v>0</v>
      </c>
      <c r="I157" s="86">
        <v>0</v>
      </c>
      <c r="J157" s="86">
        <v>0</v>
      </c>
      <c r="K157" s="87">
        <v>0</v>
      </c>
      <c r="L157" s="86">
        <v>0</v>
      </c>
      <c r="M157" s="86">
        <v>533500</v>
      </c>
      <c r="N157" s="86">
        <v>0</v>
      </c>
      <c r="O157" s="86">
        <v>0</v>
      </c>
      <c r="P157" s="86">
        <v>0</v>
      </c>
      <c r="Q157" s="86">
        <v>0</v>
      </c>
      <c r="R157" s="86">
        <v>0</v>
      </c>
      <c r="S157" s="86">
        <v>0</v>
      </c>
      <c r="T157" s="86">
        <v>0</v>
      </c>
      <c r="U157" s="86">
        <v>0</v>
      </c>
      <c r="V157" s="86">
        <v>0</v>
      </c>
      <c r="W157" s="86">
        <v>0</v>
      </c>
      <c r="X157" s="86">
        <v>0</v>
      </c>
      <c r="Y157" s="86">
        <v>0</v>
      </c>
      <c r="Z157" s="86">
        <v>0</v>
      </c>
      <c r="AA157" s="86">
        <v>0</v>
      </c>
      <c r="AB157" s="88">
        <v>2020</v>
      </c>
    </row>
    <row r="158" spans="1:28" s="1" customFormat="1" ht="35.25" customHeight="1">
      <c r="A158" s="1">
        <v>1</v>
      </c>
      <c r="B158" s="38">
        <f>SUBTOTAL(103,$A$11:A158)</f>
        <v>146</v>
      </c>
      <c r="C158" s="82" t="s">
        <v>660</v>
      </c>
      <c r="D158" s="83">
        <f t="shared" si="4"/>
        <v>126461.17</v>
      </c>
      <c r="E158" s="86">
        <v>0</v>
      </c>
      <c r="F158" s="86">
        <v>0</v>
      </c>
      <c r="G158" s="86">
        <v>0</v>
      </c>
      <c r="H158" s="86">
        <v>0</v>
      </c>
      <c r="I158" s="86">
        <v>0</v>
      </c>
      <c r="J158" s="86">
        <v>0</v>
      </c>
      <c r="K158" s="87">
        <v>0</v>
      </c>
      <c r="L158" s="86">
        <v>0</v>
      </c>
      <c r="M158" s="86">
        <v>0</v>
      </c>
      <c r="N158" s="86">
        <v>0</v>
      </c>
      <c r="O158" s="86">
        <v>126461.17</v>
      </c>
      <c r="P158" s="86">
        <v>0</v>
      </c>
      <c r="Q158" s="86">
        <v>0</v>
      </c>
      <c r="R158" s="86">
        <v>0</v>
      </c>
      <c r="S158" s="86">
        <v>0</v>
      </c>
      <c r="T158" s="86">
        <v>0</v>
      </c>
      <c r="U158" s="86">
        <v>0</v>
      </c>
      <c r="V158" s="86">
        <v>0</v>
      </c>
      <c r="W158" s="86">
        <v>0</v>
      </c>
      <c r="X158" s="86">
        <v>0</v>
      </c>
      <c r="Y158" s="86">
        <v>0</v>
      </c>
      <c r="Z158" s="86">
        <v>0</v>
      </c>
      <c r="AA158" s="86">
        <v>0</v>
      </c>
      <c r="AB158" s="88">
        <v>2020</v>
      </c>
    </row>
    <row r="159" spans="1:28" s="1" customFormat="1" ht="35.25" customHeight="1">
      <c r="A159" s="1">
        <v>1</v>
      </c>
      <c r="B159" s="38">
        <f>SUBTOTAL(103,$A$11:A159)</f>
        <v>147</v>
      </c>
      <c r="C159" s="82" t="s">
        <v>661</v>
      </c>
      <c r="D159" s="83">
        <f t="shared" si="4"/>
        <v>1330416</v>
      </c>
      <c r="E159" s="86">
        <v>0</v>
      </c>
      <c r="F159" s="86">
        <v>0</v>
      </c>
      <c r="G159" s="86">
        <v>0</v>
      </c>
      <c r="H159" s="86">
        <v>0</v>
      </c>
      <c r="I159" s="86">
        <v>0</v>
      </c>
      <c r="J159" s="86">
        <v>0</v>
      </c>
      <c r="K159" s="87">
        <v>0</v>
      </c>
      <c r="L159" s="86">
        <v>0</v>
      </c>
      <c r="M159" s="86">
        <v>238341</v>
      </c>
      <c r="N159" s="86">
        <v>0</v>
      </c>
      <c r="O159" s="86">
        <v>0</v>
      </c>
      <c r="P159" s="86">
        <v>1092075</v>
      </c>
      <c r="Q159" s="86">
        <v>0</v>
      </c>
      <c r="R159" s="86">
        <v>0</v>
      </c>
      <c r="S159" s="86">
        <v>0</v>
      </c>
      <c r="T159" s="86">
        <v>0</v>
      </c>
      <c r="U159" s="86">
        <v>0</v>
      </c>
      <c r="V159" s="86">
        <v>0</v>
      </c>
      <c r="W159" s="86">
        <v>0</v>
      </c>
      <c r="X159" s="86">
        <v>0</v>
      </c>
      <c r="Y159" s="86">
        <v>0</v>
      </c>
      <c r="Z159" s="86">
        <v>0</v>
      </c>
      <c r="AA159" s="86">
        <v>0</v>
      </c>
      <c r="AB159" s="88">
        <v>2020</v>
      </c>
    </row>
    <row r="160" spans="1:28" s="1" customFormat="1" ht="35.25" customHeight="1">
      <c r="A160" s="1">
        <v>1</v>
      </c>
      <c r="B160" s="38">
        <f>SUBTOTAL(103,$A$11:A160)</f>
        <v>148</v>
      </c>
      <c r="C160" s="82" t="s">
        <v>436</v>
      </c>
      <c r="D160" s="83">
        <f t="shared" si="4"/>
        <v>1800000</v>
      </c>
      <c r="E160" s="86">
        <v>0</v>
      </c>
      <c r="F160" s="86">
        <v>0</v>
      </c>
      <c r="G160" s="86">
        <v>0</v>
      </c>
      <c r="H160" s="86">
        <v>0</v>
      </c>
      <c r="I160" s="86">
        <v>0</v>
      </c>
      <c r="J160" s="86">
        <v>0</v>
      </c>
      <c r="K160" s="87">
        <v>1</v>
      </c>
      <c r="L160" s="86">
        <v>1800000</v>
      </c>
      <c r="M160" s="86">
        <v>0</v>
      </c>
      <c r="N160" s="86">
        <v>0</v>
      </c>
      <c r="O160" s="86">
        <v>0</v>
      </c>
      <c r="P160" s="86">
        <v>0</v>
      </c>
      <c r="Q160" s="86">
        <v>0</v>
      </c>
      <c r="R160" s="86">
        <v>0</v>
      </c>
      <c r="S160" s="86">
        <v>0</v>
      </c>
      <c r="T160" s="86">
        <v>0</v>
      </c>
      <c r="U160" s="86">
        <v>0</v>
      </c>
      <c r="V160" s="86">
        <v>0</v>
      </c>
      <c r="W160" s="86">
        <v>0</v>
      </c>
      <c r="X160" s="86">
        <v>0</v>
      </c>
      <c r="Y160" s="86">
        <v>0</v>
      </c>
      <c r="Z160" s="86">
        <v>0</v>
      </c>
      <c r="AA160" s="86">
        <v>0</v>
      </c>
      <c r="AB160" s="88">
        <v>2020</v>
      </c>
    </row>
    <row r="161" spans="1:28" s="1" customFormat="1" ht="35.25" customHeight="1">
      <c r="A161" s="1">
        <v>1</v>
      </c>
      <c r="B161" s="38">
        <f>SUBTOTAL(103,$A$11:A161)</f>
        <v>149</v>
      </c>
      <c r="C161" s="82" t="s">
        <v>662</v>
      </c>
      <c r="D161" s="83">
        <f t="shared" si="4"/>
        <v>1842506</v>
      </c>
      <c r="E161" s="86">
        <v>0</v>
      </c>
      <c r="F161" s="86">
        <v>0</v>
      </c>
      <c r="G161" s="86">
        <v>0</v>
      </c>
      <c r="H161" s="86">
        <v>0</v>
      </c>
      <c r="I161" s="86">
        <v>0</v>
      </c>
      <c r="J161" s="86">
        <v>0</v>
      </c>
      <c r="K161" s="87">
        <v>0</v>
      </c>
      <c r="L161" s="86">
        <v>0</v>
      </c>
      <c r="M161" s="86">
        <v>0</v>
      </c>
      <c r="N161" s="86">
        <v>0</v>
      </c>
      <c r="O161" s="86">
        <v>1842506</v>
      </c>
      <c r="P161" s="86">
        <v>0</v>
      </c>
      <c r="Q161" s="86">
        <v>0</v>
      </c>
      <c r="R161" s="86">
        <v>0</v>
      </c>
      <c r="S161" s="86">
        <v>0</v>
      </c>
      <c r="T161" s="86">
        <v>0</v>
      </c>
      <c r="U161" s="86">
        <v>0</v>
      </c>
      <c r="V161" s="86">
        <v>0</v>
      </c>
      <c r="W161" s="86">
        <v>0</v>
      </c>
      <c r="X161" s="86">
        <v>0</v>
      </c>
      <c r="Y161" s="86">
        <v>0</v>
      </c>
      <c r="Z161" s="86">
        <v>0</v>
      </c>
      <c r="AA161" s="86">
        <v>0</v>
      </c>
      <c r="AB161" s="88">
        <v>2020</v>
      </c>
    </row>
    <row r="162" spans="1:28" s="1" customFormat="1" ht="35.25" customHeight="1">
      <c r="A162" s="1">
        <v>1</v>
      </c>
      <c r="B162" s="38">
        <f>SUBTOTAL(103,$A$11:A162)</f>
        <v>150</v>
      </c>
      <c r="C162" s="82" t="s">
        <v>663</v>
      </c>
      <c r="D162" s="83">
        <f t="shared" si="4"/>
        <v>327139.40000000002</v>
      </c>
      <c r="E162" s="86">
        <v>0</v>
      </c>
      <c r="F162" s="86">
        <v>0</v>
      </c>
      <c r="G162" s="86">
        <v>0</v>
      </c>
      <c r="H162" s="86">
        <v>0</v>
      </c>
      <c r="I162" s="86">
        <v>0</v>
      </c>
      <c r="J162" s="86">
        <v>0</v>
      </c>
      <c r="K162" s="87">
        <v>0</v>
      </c>
      <c r="L162" s="86">
        <v>0</v>
      </c>
      <c r="M162" s="86">
        <v>327139.40000000002</v>
      </c>
      <c r="N162" s="86">
        <v>0</v>
      </c>
      <c r="O162" s="86">
        <v>0</v>
      </c>
      <c r="P162" s="86">
        <v>0</v>
      </c>
      <c r="Q162" s="86">
        <v>0</v>
      </c>
      <c r="R162" s="86">
        <v>0</v>
      </c>
      <c r="S162" s="86">
        <v>0</v>
      </c>
      <c r="T162" s="86">
        <v>0</v>
      </c>
      <c r="U162" s="86">
        <v>0</v>
      </c>
      <c r="V162" s="86">
        <v>0</v>
      </c>
      <c r="W162" s="86">
        <v>0</v>
      </c>
      <c r="X162" s="86">
        <v>0</v>
      </c>
      <c r="Y162" s="86">
        <v>0</v>
      </c>
      <c r="Z162" s="86">
        <v>0</v>
      </c>
      <c r="AA162" s="86">
        <v>0</v>
      </c>
      <c r="AB162" s="88">
        <v>2020</v>
      </c>
    </row>
    <row r="163" spans="1:28" s="1" customFormat="1" ht="35.25" customHeight="1">
      <c r="A163" s="1">
        <v>1</v>
      </c>
      <c r="B163" s="38">
        <f>SUBTOTAL(103,$A$11:A163)</f>
        <v>151</v>
      </c>
      <c r="C163" s="82" t="s">
        <v>664</v>
      </c>
      <c r="D163" s="83">
        <f t="shared" si="4"/>
        <v>284860</v>
      </c>
      <c r="E163" s="86">
        <v>41758</v>
      </c>
      <c r="F163" s="86">
        <v>0</v>
      </c>
      <c r="G163" s="86">
        <v>0</v>
      </c>
      <c r="H163" s="86">
        <v>0</v>
      </c>
      <c r="I163" s="86">
        <v>0</v>
      </c>
      <c r="J163" s="86">
        <v>0</v>
      </c>
      <c r="K163" s="87">
        <v>0</v>
      </c>
      <c r="L163" s="86">
        <v>0</v>
      </c>
      <c r="M163" s="86">
        <v>0</v>
      </c>
      <c r="N163" s="86">
        <v>0</v>
      </c>
      <c r="O163" s="86">
        <v>243102</v>
      </c>
      <c r="P163" s="86">
        <v>0</v>
      </c>
      <c r="Q163" s="86">
        <v>0</v>
      </c>
      <c r="R163" s="86">
        <v>0</v>
      </c>
      <c r="S163" s="86">
        <v>0</v>
      </c>
      <c r="T163" s="86">
        <v>0</v>
      </c>
      <c r="U163" s="86">
        <v>0</v>
      </c>
      <c r="V163" s="86">
        <v>0</v>
      </c>
      <c r="W163" s="86">
        <v>0</v>
      </c>
      <c r="X163" s="86">
        <v>0</v>
      </c>
      <c r="Y163" s="86">
        <v>0</v>
      </c>
      <c r="Z163" s="86">
        <v>0</v>
      </c>
      <c r="AA163" s="86">
        <v>0</v>
      </c>
      <c r="AB163" s="88">
        <v>2020</v>
      </c>
    </row>
    <row r="164" spans="1:28" s="1" customFormat="1" ht="35.25" customHeight="1">
      <c r="A164" s="1">
        <v>1</v>
      </c>
      <c r="B164" s="38">
        <f>SUBTOTAL(103,$A$11:A164)</f>
        <v>152</v>
      </c>
      <c r="C164" s="82" t="s">
        <v>665</v>
      </c>
      <c r="D164" s="83">
        <f t="shared" si="4"/>
        <v>562718</v>
      </c>
      <c r="E164" s="86">
        <v>0</v>
      </c>
      <c r="F164" s="86">
        <v>0</v>
      </c>
      <c r="G164" s="86">
        <v>0</v>
      </c>
      <c r="H164" s="86">
        <v>0</v>
      </c>
      <c r="I164" s="86">
        <v>0</v>
      </c>
      <c r="J164" s="86">
        <v>0</v>
      </c>
      <c r="K164" s="87">
        <v>0</v>
      </c>
      <c r="L164" s="86">
        <v>0</v>
      </c>
      <c r="M164" s="86">
        <v>0</v>
      </c>
      <c r="N164" s="86">
        <v>562718</v>
      </c>
      <c r="O164" s="86">
        <v>0</v>
      </c>
      <c r="P164" s="86">
        <v>0</v>
      </c>
      <c r="Q164" s="86">
        <v>0</v>
      </c>
      <c r="R164" s="86">
        <v>0</v>
      </c>
      <c r="S164" s="86">
        <v>0</v>
      </c>
      <c r="T164" s="86">
        <v>0</v>
      </c>
      <c r="U164" s="86">
        <v>0</v>
      </c>
      <c r="V164" s="86">
        <v>0</v>
      </c>
      <c r="W164" s="86">
        <v>0</v>
      </c>
      <c r="X164" s="86">
        <v>0</v>
      </c>
      <c r="Y164" s="86">
        <v>0</v>
      </c>
      <c r="Z164" s="86">
        <v>0</v>
      </c>
      <c r="AA164" s="86">
        <v>0</v>
      </c>
      <c r="AB164" s="88">
        <v>2020</v>
      </c>
    </row>
    <row r="165" spans="1:28" s="1" customFormat="1" ht="35.25" customHeight="1">
      <c r="A165" s="1">
        <v>1</v>
      </c>
      <c r="B165" s="38">
        <f>SUBTOTAL(103,$A$11:A165)</f>
        <v>153</v>
      </c>
      <c r="C165" s="82" t="s">
        <v>666</v>
      </c>
      <c r="D165" s="83">
        <f t="shared" si="4"/>
        <v>523273.69</v>
      </c>
      <c r="E165" s="86">
        <v>0</v>
      </c>
      <c r="F165" s="86">
        <v>0</v>
      </c>
      <c r="G165" s="86">
        <v>0</v>
      </c>
      <c r="H165" s="86">
        <v>0</v>
      </c>
      <c r="I165" s="86">
        <v>0</v>
      </c>
      <c r="J165" s="86">
        <v>0</v>
      </c>
      <c r="K165" s="87">
        <v>0</v>
      </c>
      <c r="L165" s="86">
        <v>0</v>
      </c>
      <c r="M165" s="86">
        <v>523273.69</v>
      </c>
      <c r="N165" s="86">
        <v>0</v>
      </c>
      <c r="O165" s="86">
        <v>0</v>
      </c>
      <c r="P165" s="86">
        <v>0</v>
      </c>
      <c r="Q165" s="86">
        <v>0</v>
      </c>
      <c r="R165" s="86">
        <v>0</v>
      </c>
      <c r="S165" s="86">
        <v>0</v>
      </c>
      <c r="T165" s="86">
        <v>0</v>
      </c>
      <c r="U165" s="86">
        <v>0</v>
      </c>
      <c r="V165" s="86">
        <v>0</v>
      </c>
      <c r="W165" s="86">
        <v>0</v>
      </c>
      <c r="X165" s="86">
        <v>0</v>
      </c>
      <c r="Y165" s="86">
        <v>0</v>
      </c>
      <c r="Z165" s="86">
        <v>0</v>
      </c>
      <c r="AA165" s="86">
        <v>0</v>
      </c>
      <c r="AB165" s="88">
        <v>2020</v>
      </c>
    </row>
    <row r="166" spans="1:28" s="1" customFormat="1" ht="35.25" customHeight="1">
      <c r="A166" s="1">
        <v>1</v>
      </c>
      <c r="B166" s="38">
        <f>SUBTOTAL(103,$A$11:A166)</f>
        <v>154</v>
      </c>
      <c r="C166" s="82" t="s">
        <v>667</v>
      </c>
      <c r="D166" s="83">
        <f t="shared" si="4"/>
        <v>405244</v>
      </c>
      <c r="E166" s="86">
        <v>0</v>
      </c>
      <c r="F166" s="86">
        <v>405244</v>
      </c>
      <c r="G166" s="86">
        <v>0</v>
      </c>
      <c r="H166" s="86">
        <v>0</v>
      </c>
      <c r="I166" s="86">
        <v>0</v>
      </c>
      <c r="J166" s="86">
        <v>0</v>
      </c>
      <c r="K166" s="87">
        <v>0</v>
      </c>
      <c r="L166" s="86">
        <v>0</v>
      </c>
      <c r="M166" s="86">
        <v>0</v>
      </c>
      <c r="N166" s="86">
        <v>0</v>
      </c>
      <c r="O166" s="86">
        <v>0</v>
      </c>
      <c r="P166" s="86">
        <v>0</v>
      </c>
      <c r="Q166" s="86">
        <v>0</v>
      </c>
      <c r="R166" s="86">
        <v>0</v>
      </c>
      <c r="S166" s="86">
        <v>0</v>
      </c>
      <c r="T166" s="86">
        <v>0</v>
      </c>
      <c r="U166" s="86">
        <v>0</v>
      </c>
      <c r="V166" s="86">
        <v>0</v>
      </c>
      <c r="W166" s="86">
        <v>0</v>
      </c>
      <c r="X166" s="86">
        <v>0</v>
      </c>
      <c r="Y166" s="86">
        <v>0</v>
      </c>
      <c r="Z166" s="86">
        <v>0</v>
      </c>
      <c r="AA166" s="86">
        <v>0</v>
      </c>
      <c r="AB166" s="88">
        <v>2020</v>
      </c>
    </row>
    <row r="167" spans="1:28" s="1" customFormat="1" ht="35.25" customHeight="1">
      <c r="A167" s="1">
        <v>1</v>
      </c>
      <c r="B167" s="38">
        <f>SUBTOTAL(103,$A$11:A167)</f>
        <v>155</v>
      </c>
      <c r="C167" s="82" t="s">
        <v>668</v>
      </c>
      <c r="D167" s="83">
        <f t="shared" si="4"/>
        <v>31500</v>
      </c>
      <c r="E167" s="86">
        <v>0</v>
      </c>
      <c r="F167" s="86">
        <v>0</v>
      </c>
      <c r="G167" s="86">
        <v>0</v>
      </c>
      <c r="H167" s="86">
        <v>0</v>
      </c>
      <c r="I167" s="86">
        <v>0</v>
      </c>
      <c r="J167" s="86">
        <v>0</v>
      </c>
      <c r="K167" s="87">
        <v>0</v>
      </c>
      <c r="L167" s="86">
        <v>0</v>
      </c>
      <c r="M167" s="86">
        <v>31500</v>
      </c>
      <c r="N167" s="86">
        <v>0</v>
      </c>
      <c r="O167" s="86">
        <v>0</v>
      </c>
      <c r="P167" s="86">
        <v>0</v>
      </c>
      <c r="Q167" s="86">
        <v>0</v>
      </c>
      <c r="R167" s="86">
        <v>0</v>
      </c>
      <c r="S167" s="86">
        <v>0</v>
      </c>
      <c r="T167" s="86">
        <v>0</v>
      </c>
      <c r="U167" s="86">
        <v>0</v>
      </c>
      <c r="V167" s="86">
        <v>0</v>
      </c>
      <c r="W167" s="86">
        <v>0</v>
      </c>
      <c r="X167" s="86">
        <v>0</v>
      </c>
      <c r="Y167" s="86">
        <v>0</v>
      </c>
      <c r="Z167" s="86">
        <v>0</v>
      </c>
      <c r="AA167" s="86">
        <v>0</v>
      </c>
      <c r="AB167" s="88">
        <v>2020</v>
      </c>
    </row>
    <row r="168" spans="1:28" s="1" customFormat="1" ht="35.25" customHeight="1">
      <c r="A168" s="1">
        <v>1</v>
      </c>
      <c r="B168" s="38">
        <f>SUBTOTAL(103,$A$11:A168)</f>
        <v>156</v>
      </c>
      <c r="C168" s="82" t="s">
        <v>441</v>
      </c>
      <c r="D168" s="83">
        <f t="shared" si="4"/>
        <v>597216.73</v>
      </c>
      <c r="E168" s="86">
        <v>0</v>
      </c>
      <c r="F168" s="86">
        <v>0</v>
      </c>
      <c r="G168" s="86">
        <v>0</v>
      </c>
      <c r="H168" s="86">
        <v>0</v>
      </c>
      <c r="I168" s="86">
        <v>0</v>
      </c>
      <c r="J168" s="86">
        <v>0</v>
      </c>
      <c r="K168" s="87">
        <v>1</v>
      </c>
      <c r="L168" s="86">
        <v>85000</v>
      </c>
      <c r="M168" s="86">
        <v>247409</v>
      </c>
      <c r="N168" s="86">
        <v>0</v>
      </c>
      <c r="O168" s="86">
        <v>264807.73</v>
      </c>
      <c r="P168" s="86">
        <v>0</v>
      </c>
      <c r="Q168" s="86">
        <v>0</v>
      </c>
      <c r="R168" s="86">
        <v>0</v>
      </c>
      <c r="S168" s="86">
        <v>0</v>
      </c>
      <c r="T168" s="86">
        <v>0</v>
      </c>
      <c r="U168" s="86">
        <v>0</v>
      </c>
      <c r="V168" s="86">
        <v>0</v>
      </c>
      <c r="W168" s="86">
        <v>0</v>
      </c>
      <c r="X168" s="86">
        <v>0</v>
      </c>
      <c r="Y168" s="86">
        <v>0</v>
      </c>
      <c r="Z168" s="86">
        <v>0</v>
      </c>
      <c r="AA168" s="86">
        <v>0</v>
      </c>
      <c r="AB168" s="88">
        <v>2020</v>
      </c>
    </row>
    <row r="169" spans="1:28" s="1" customFormat="1" ht="35.25" customHeight="1">
      <c r="A169" s="1">
        <v>1</v>
      </c>
      <c r="B169" s="38">
        <f>SUBTOTAL(103,$A$11:A169)</f>
        <v>157</v>
      </c>
      <c r="C169" s="82" t="s">
        <v>669</v>
      </c>
      <c r="D169" s="83">
        <f t="shared" si="4"/>
        <v>389342</v>
      </c>
      <c r="E169" s="86">
        <v>0</v>
      </c>
      <c r="F169" s="86">
        <v>0</v>
      </c>
      <c r="G169" s="86">
        <v>0</v>
      </c>
      <c r="H169" s="86">
        <v>0</v>
      </c>
      <c r="I169" s="86">
        <v>0</v>
      </c>
      <c r="J169" s="86">
        <v>0</v>
      </c>
      <c r="K169" s="87">
        <v>0</v>
      </c>
      <c r="L169" s="86">
        <v>0</v>
      </c>
      <c r="M169" s="86">
        <v>0</v>
      </c>
      <c r="N169" s="86">
        <v>0</v>
      </c>
      <c r="O169" s="86">
        <v>389342</v>
      </c>
      <c r="P169" s="86">
        <v>0</v>
      </c>
      <c r="Q169" s="86">
        <v>0</v>
      </c>
      <c r="R169" s="86">
        <v>0</v>
      </c>
      <c r="S169" s="86">
        <v>0</v>
      </c>
      <c r="T169" s="86">
        <v>0</v>
      </c>
      <c r="U169" s="86">
        <v>0</v>
      </c>
      <c r="V169" s="86">
        <v>0</v>
      </c>
      <c r="W169" s="86">
        <v>0</v>
      </c>
      <c r="X169" s="86">
        <v>0</v>
      </c>
      <c r="Y169" s="86">
        <v>0</v>
      </c>
      <c r="Z169" s="86">
        <v>0</v>
      </c>
      <c r="AA169" s="86">
        <v>0</v>
      </c>
      <c r="AB169" s="88">
        <v>2020</v>
      </c>
    </row>
    <row r="170" spans="1:28" s="1" customFormat="1" ht="35.25" customHeight="1">
      <c r="A170" s="1">
        <v>1</v>
      </c>
      <c r="B170" s="38">
        <f>SUBTOTAL(103,$A$11:A170)</f>
        <v>158</v>
      </c>
      <c r="C170" s="82" t="s">
        <v>670</v>
      </c>
      <c r="D170" s="83">
        <f t="shared" si="4"/>
        <v>425173.92000000004</v>
      </c>
      <c r="E170" s="86">
        <v>0</v>
      </c>
      <c r="F170" s="86">
        <v>0</v>
      </c>
      <c r="G170" s="86">
        <v>192500</v>
      </c>
      <c r="H170" s="86">
        <v>0</v>
      </c>
      <c r="I170" s="86">
        <v>0</v>
      </c>
      <c r="J170" s="86">
        <v>0</v>
      </c>
      <c r="K170" s="87">
        <v>0</v>
      </c>
      <c r="L170" s="86">
        <v>0</v>
      </c>
      <c r="M170" s="86">
        <v>0</v>
      </c>
      <c r="N170" s="86">
        <v>0</v>
      </c>
      <c r="O170" s="86">
        <v>232673.92000000001</v>
      </c>
      <c r="P170" s="86">
        <v>0</v>
      </c>
      <c r="Q170" s="86">
        <v>0</v>
      </c>
      <c r="R170" s="86">
        <v>0</v>
      </c>
      <c r="S170" s="86">
        <v>0</v>
      </c>
      <c r="T170" s="86">
        <v>0</v>
      </c>
      <c r="U170" s="86">
        <v>0</v>
      </c>
      <c r="V170" s="86">
        <v>0</v>
      </c>
      <c r="W170" s="86">
        <v>0</v>
      </c>
      <c r="X170" s="86">
        <v>0</v>
      </c>
      <c r="Y170" s="86">
        <v>0</v>
      </c>
      <c r="Z170" s="86">
        <v>0</v>
      </c>
      <c r="AA170" s="86">
        <v>0</v>
      </c>
      <c r="AB170" s="88">
        <v>2020</v>
      </c>
    </row>
    <row r="171" spans="1:28" s="1" customFormat="1" ht="35.25" customHeight="1">
      <c r="A171" s="1">
        <v>1</v>
      </c>
      <c r="B171" s="38">
        <f>SUBTOTAL(103,$A$11:A171)</f>
        <v>159</v>
      </c>
      <c r="C171" s="82" t="s">
        <v>671</v>
      </c>
      <c r="D171" s="83">
        <f t="shared" si="4"/>
        <v>1855885.31</v>
      </c>
      <c r="E171" s="86">
        <v>0</v>
      </c>
      <c r="F171" s="86">
        <v>0</v>
      </c>
      <c r="G171" s="86">
        <v>0</v>
      </c>
      <c r="H171" s="86">
        <v>0</v>
      </c>
      <c r="I171" s="86">
        <v>0</v>
      </c>
      <c r="J171" s="86">
        <v>0</v>
      </c>
      <c r="K171" s="87">
        <v>0</v>
      </c>
      <c r="L171" s="86">
        <v>0</v>
      </c>
      <c r="M171" s="86">
        <v>1768030</v>
      </c>
      <c r="N171" s="86">
        <v>0</v>
      </c>
      <c r="O171" s="86">
        <v>87855.31</v>
      </c>
      <c r="P171" s="86">
        <v>0</v>
      </c>
      <c r="Q171" s="86">
        <v>0</v>
      </c>
      <c r="R171" s="86">
        <v>0</v>
      </c>
      <c r="S171" s="86">
        <v>0</v>
      </c>
      <c r="T171" s="86">
        <v>0</v>
      </c>
      <c r="U171" s="86">
        <v>0</v>
      </c>
      <c r="V171" s="86">
        <v>0</v>
      </c>
      <c r="W171" s="86">
        <v>0</v>
      </c>
      <c r="X171" s="86">
        <v>0</v>
      </c>
      <c r="Y171" s="86">
        <v>0</v>
      </c>
      <c r="Z171" s="86">
        <v>0</v>
      </c>
      <c r="AA171" s="86">
        <v>0</v>
      </c>
      <c r="AB171" s="88">
        <v>2020</v>
      </c>
    </row>
    <row r="172" spans="1:28" s="1" customFormat="1" ht="35.25" customHeight="1">
      <c r="A172" s="1">
        <v>1</v>
      </c>
      <c r="B172" s="38">
        <f>SUBTOTAL(103,$A$11:A172)</f>
        <v>160</v>
      </c>
      <c r="C172" s="82" t="s">
        <v>672</v>
      </c>
      <c r="D172" s="83">
        <f t="shared" si="4"/>
        <v>498750</v>
      </c>
      <c r="E172" s="86">
        <v>0</v>
      </c>
      <c r="F172" s="86">
        <v>0</v>
      </c>
      <c r="G172" s="86">
        <v>0</v>
      </c>
      <c r="H172" s="86">
        <v>0</v>
      </c>
      <c r="I172" s="86">
        <v>0</v>
      </c>
      <c r="J172" s="86">
        <v>0</v>
      </c>
      <c r="K172" s="87">
        <v>0</v>
      </c>
      <c r="L172" s="86">
        <v>0</v>
      </c>
      <c r="M172" s="86">
        <v>0</v>
      </c>
      <c r="N172" s="86">
        <v>0</v>
      </c>
      <c r="O172" s="86">
        <v>498750</v>
      </c>
      <c r="P172" s="86">
        <v>0</v>
      </c>
      <c r="Q172" s="86">
        <v>0</v>
      </c>
      <c r="R172" s="86">
        <v>0</v>
      </c>
      <c r="S172" s="86">
        <v>0</v>
      </c>
      <c r="T172" s="86">
        <v>0</v>
      </c>
      <c r="U172" s="86">
        <v>0</v>
      </c>
      <c r="V172" s="86">
        <v>0</v>
      </c>
      <c r="W172" s="86">
        <v>0</v>
      </c>
      <c r="X172" s="86">
        <v>0</v>
      </c>
      <c r="Y172" s="86">
        <v>0</v>
      </c>
      <c r="Z172" s="86">
        <v>0</v>
      </c>
      <c r="AA172" s="86">
        <v>0</v>
      </c>
      <c r="AB172" s="88">
        <v>2020</v>
      </c>
    </row>
    <row r="173" spans="1:28" s="1" customFormat="1" ht="35.25" customHeight="1">
      <c r="A173" s="1">
        <v>1</v>
      </c>
      <c r="B173" s="38">
        <f>SUBTOTAL(103,$A$11:A173)</f>
        <v>161</v>
      </c>
      <c r="C173" s="82" t="s">
        <v>673</v>
      </c>
      <c r="D173" s="83">
        <f t="shared" ref="D173:D177" si="5">E173+F173+G173+H173+I173+J173+L173+M173+N173+O173+P173+Q173+R173+S173+T173+U173+V173+W173+X173+Y173+Z173+AA173</f>
        <v>781837.52</v>
      </c>
      <c r="E173" s="86">
        <v>0</v>
      </c>
      <c r="F173" s="86">
        <v>0</v>
      </c>
      <c r="G173" s="86">
        <v>0</v>
      </c>
      <c r="H173" s="86">
        <v>0</v>
      </c>
      <c r="I173" s="86">
        <v>0</v>
      </c>
      <c r="J173" s="86">
        <v>0</v>
      </c>
      <c r="K173" s="87">
        <v>0</v>
      </c>
      <c r="L173" s="86">
        <v>0</v>
      </c>
      <c r="M173" s="86">
        <v>72227.39</v>
      </c>
      <c r="N173" s="86">
        <v>380731.18</v>
      </c>
      <c r="O173" s="86">
        <v>328878.95</v>
      </c>
      <c r="P173" s="86">
        <v>0</v>
      </c>
      <c r="Q173" s="86">
        <v>0</v>
      </c>
      <c r="R173" s="86">
        <v>0</v>
      </c>
      <c r="S173" s="86">
        <v>0</v>
      </c>
      <c r="T173" s="86">
        <v>0</v>
      </c>
      <c r="U173" s="86">
        <v>0</v>
      </c>
      <c r="V173" s="86">
        <v>0</v>
      </c>
      <c r="W173" s="86">
        <v>0</v>
      </c>
      <c r="X173" s="86">
        <v>0</v>
      </c>
      <c r="Y173" s="86">
        <v>0</v>
      </c>
      <c r="Z173" s="86">
        <v>0</v>
      </c>
      <c r="AA173" s="86">
        <v>0</v>
      </c>
      <c r="AB173" s="88">
        <v>2020</v>
      </c>
    </row>
    <row r="174" spans="1:28" s="1" customFormat="1" ht="35.25" customHeight="1">
      <c r="A174" s="1">
        <v>1</v>
      </c>
      <c r="B174" s="38">
        <f>SUBTOTAL(103,$A$11:A174)</f>
        <v>162</v>
      </c>
      <c r="C174" s="82" t="s">
        <v>674</v>
      </c>
      <c r="D174" s="83">
        <f t="shared" si="5"/>
        <v>105000</v>
      </c>
      <c r="E174" s="86">
        <v>105000</v>
      </c>
      <c r="F174" s="86">
        <v>0</v>
      </c>
      <c r="G174" s="86">
        <v>0</v>
      </c>
      <c r="H174" s="86">
        <v>0</v>
      </c>
      <c r="I174" s="86">
        <v>0</v>
      </c>
      <c r="J174" s="86">
        <v>0</v>
      </c>
      <c r="K174" s="87">
        <v>0</v>
      </c>
      <c r="L174" s="86">
        <v>0</v>
      </c>
      <c r="M174" s="86">
        <v>0</v>
      </c>
      <c r="N174" s="86">
        <v>0</v>
      </c>
      <c r="O174" s="86">
        <v>0</v>
      </c>
      <c r="P174" s="86">
        <v>0</v>
      </c>
      <c r="Q174" s="86">
        <v>0</v>
      </c>
      <c r="R174" s="86">
        <v>0</v>
      </c>
      <c r="S174" s="86">
        <v>0</v>
      </c>
      <c r="T174" s="86">
        <v>0</v>
      </c>
      <c r="U174" s="86">
        <v>0</v>
      </c>
      <c r="V174" s="86">
        <v>0</v>
      </c>
      <c r="W174" s="86">
        <v>0</v>
      </c>
      <c r="X174" s="86">
        <v>0</v>
      </c>
      <c r="Y174" s="86">
        <v>0</v>
      </c>
      <c r="Z174" s="86">
        <v>0</v>
      </c>
      <c r="AA174" s="86">
        <v>0</v>
      </c>
      <c r="AB174" s="88">
        <v>2020</v>
      </c>
    </row>
    <row r="175" spans="1:28" s="1" customFormat="1" ht="35.25" customHeight="1">
      <c r="A175" s="1">
        <v>1</v>
      </c>
      <c r="B175" s="38">
        <f>SUBTOTAL(103,$A$11:A175)</f>
        <v>163</v>
      </c>
      <c r="C175" s="82" t="s">
        <v>675</v>
      </c>
      <c r="D175" s="83">
        <f t="shared" si="5"/>
        <v>525162</v>
      </c>
      <c r="E175" s="86">
        <v>0</v>
      </c>
      <c r="F175" s="86">
        <v>0</v>
      </c>
      <c r="G175" s="86">
        <v>0</v>
      </c>
      <c r="H175" s="86">
        <v>0</v>
      </c>
      <c r="I175" s="86">
        <v>0</v>
      </c>
      <c r="J175" s="86">
        <v>0</v>
      </c>
      <c r="K175" s="87">
        <v>0</v>
      </c>
      <c r="L175" s="86">
        <v>0</v>
      </c>
      <c r="M175" s="86">
        <v>525162</v>
      </c>
      <c r="N175" s="86">
        <v>0</v>
      </c>
      <c r="O175" s="86">
        <v>0</v>
      </c>
      <c r="P175" s="86">
        <v>0</v>
      </c>
      <c r="Q175" s="86">
        <v>0</v>
      </c>
      <c r="R175" s="86">
        <v>0</v>
      </c>
      <c r="S175" s="86">
        <v>0</v>
      </c>
      <c r="T175" s="86">
        <v>0</v>
      </c>
      <c r="U175" s="86">
        <v>0</v>
      </c>
      <c r="V175" s="86">
        <v>0</v>
      </c>
      <c r="W175" s="86">
        <v>0</v>
      </c>
      <c r="X175" s="86">
        <v>0</v>
      </c>
      <c r="Y175" s="86">
        <v>0</v>
      </c>
      <c r="Z175" s="86">
        <v>0</v>
      </c>
      <c r="AA175" s="86">
        <v>0</v>
      </c>
      <c r="AB175" s="88">
        <v>2020</v>
      </c>
    </row>
    <row r="176" spans="1:28" s="1" customFormat="1" ht="35.25" customHeight="1">
      <c r="A176" s="1">
        <v>1</v>
      </c>
      <c r="B176" s="38">
        <f>SUBTOTAL(103,$A$11:A176)</f>
        <v>164</v>
      </c>
      <c r="C176" s="82" t="s">
        <v>445</v>
      </c>
      <c r="D176" s="83">
        <f t="shared" si="5"/>
        <v>1389500</v>
      </c>
      <c r="E176" s="86">
        <v>0</v>
      </c>
      <c r="F176" s="86">
        <v>0</v>
      </c>
      <c r="G176" s="86">
        <v>0</v>
      </c>
      <c r="H176" s="86">
        <v>0</v>
      </c>
      <c r="I176" s="86">
        <v>0</v>
      </c>
      <c r="J176" s="86">
        <v>0</v>
      </c>
      <c r="K176" s="87">
        <v>0</v>
      </c>
      <c r="L176" s="86">
        <v>0</v>
      </c>
      <c r="M176" s="86">
        <v>1389500</v>
      </c>
      <c r="N176" s="86">
        <v>0</v>
      </c>
      <c r="O176" s="86">
        <v>0</v>
      </c>
      <c r="P176" s="86">
        <v>0</v>
      </c>
      <c r="Q176" s="86">
        <v>0</v>
      </c>
      <c r="R176" s="86">
        <v>0</v>
      </c>
      <c r="S176" s="86">
        <v>0</v>
      </c>
      <c r="T176" s="86">
        <v>0</v>
      </c>
      <c r="U176" s="86">
        <v>0</v>
      </c>
      <c r="V176" s="86">
        <v>0</v>
      </c>
      <c r="W176" s="86">
        <v>0</v>
      </c>
      <c r="X176" s="86">
        <v>0</v>
      </c>
      <c r="Y176" s="86">
        <v>0</v>
      </c>
      <c r="Z176" s="86">
        <v>0</v>
      </c>
      <c r="AA176" s="86">
        <v>0</v>
      </c>
      <c r="AB176" s="88">
        <v>2020</v>
      </c>
    </row>
    <row r="177" spans="1:28" s="1" customFormat="1" ht="35.25" customHeight="1">
      <c r="A177" s="1">
        <v>1</v>
      </c>
      <c r="B177" s="38">
        <f>SUBTOTAL(103,$A$11:A177)</f>
        <v>165</v>
      </c>
      <c r="C177" s="82" t="s">
        <v>446</v>
      </c>
      <c r="D177" s="83">
        <f t="shared" si="5"/>
        <v>1078705</v>
      </c>
      <c r="E177" s="86">
        <v>215265</v>
      </c>
      <c r="F177" s="86">
        <v>85000</v>
      </c>
      <c r="G177" s="86">
        <v>0</v>
      </c>
      <c r="H177" s="86">
        <v>0</v>
      </c>
      <c r="I177" s="86">
        <v>121325</v>
      </c>
      <c r="J177" s="86">
        <v>0</v>
      </c>
      <c r="K177" s="87">
        <v>0</v>
      </c>
      <c r="L177" s="86">
        <v>0</v>
      </c>
      <c r="M177" s="86">
        <v>450000</v>
      </c>
      <c r="N177" s="86">
        <v>174615</v>
      </c>
      <c r="O177" s="86">
        <v>32500</v>
      </c>
      <c r="P177" s="86">
        <v>0</v>
      </c>
      <c r="Q177" s="86">
        <v>0</v>
      </c>
      <c r="R177" s="86">
        <v>0</v>
      </c>
      <c r="S177" s="86">
        <v>0</v>
      </c>
      <c r="T177" s="86">
        <v>0</v>
      </c>
      <c r="U177" s="86">
        <v>0</v>
      </c>
      <c r="V177" s="86">
        <v>0</v>
      </c>
      <c r="W177" s="86">
        <v>0</v>
      </c>
      <c r="X177" s="86">
        <v>0</v>
      </c>
      <c r="Y177" s="86">
        <v>0</v>
      </c>
      <c r="Z177" s="86">
        <v>0</v>
      </c>
      <c r="AA177" s="86">
        <v>0</v>
      </c>
      <c r="AB177" s="88">
        <v>2020</v>
      </c>
    </row>
    <row r="178" spans="1:28" s="1" customFormat="1" ht="35.25" customHeight="1">
      <c r="A178" s="1">
        <v>1</v>
      </c>
      <c r="B178" s="38">
        <f>SUBTOTAL(103,$A$11:A178)</f>
        <v>166</v>
      </c>
      <c r="C178" s="82" t="s">
        <v>676</v>
      </c>
      <c r="D178" s="83">
        <f>E178+F178+G178+H178+I178+J178+L178+M178+N178+O178+P178+Q178+R178+S178+T178+U178+V178+W178+X178+Y178+Z178+AA178</f>
        <v>403507.08</v>
      </c>
      <c r="E178" s="86">
        <v>201753.54</v>
      </c>
      <c r="F178" s="86">
        <v>201753.54</v>
      </c>
      <c r="G178" s="86">
        <v>0</v>
      </c>
      <c r="H178" s="86">
        <v>0</v>
      </c>
      <c r="I178" s="86">
        <v>0</v>
      </c>
      <c r="J178" s="86">
        <v>0</v>
      </c>
      <c r="K178" s="87">
        <v>0</v>
      </c>
      <c r="L178" s="86">
        <v>0</v>
      </c>
      <c r="M178" s="86">
        <v>0</v>
      </c>
      <c r="N178" s="86">
        <v>0</v>
      </c>
      <c r="O178" s="86">
        <v>0</v>
      </c>
      <c r="P178" s="86">
        <v>0</v>
      </c>
      <c r="Q178" s="86">
        <v>0</v>
      </c>
      <c r="R178" s="86">
        <v>0</v>
      </c>
      <c r="S178" s="86">
        <v>0</v>
      </c>
      <c r="T178" s="86">
        <v>0</v>
      </c>
      <c r="U178" s="86">
        <v>0</v>
      </c>
      <c r="V178" s="86">
        <v>0</v>
      </c>
      <c r="W178" s="86">
        <v>0</v>
      </c>
      <c r="X178" s="86">
        <v>0</v>
      </c>
      <c r="Y178" s="86">
        <v>0</v>
      </c>
      <c r="Z178" s="86">
        <v>0</v>
      </c>
      <c r="AA178" s="86">
        <v>0</v>
      </c>
      <c r="AB178" s="88">
        <v>2020</v>
      </c>
    </row>
    <row r="179" spans="1:28" s="1" customFormat="1" ht="35.25" customHeight="1">
      <c r="A179" s="1">
        <v>1</v>
      </c>
      <c r="B179" s="38">
        <f>SUBTOTAL(103,$A$11:A179)</f>
        <v>167</v>
      </c>
      <c r="C179" s="82" t="s">
        <v>677</v>
      </c>
      <c r="D179" s="83">
        <f>E179+F179+G179+H179+I179+J179+L179+M179+N179+O179+P179+Q179+R179+S179+T179+U179+V179+W179+X179+Y179+Z179+AA179</f>
        <v>515016</v>
      </c>
      <c r="E179" s="86">
        <v>0</v>
      </c>
      <c r="F179" s="86">
        <v>0</v>
      </c>
      <c r="G179" s="86">
        <v>0</v>
      </c>
      <c r="H179" s="86">
        <v>0</v>
      </c>
      <c r="I179" s="86">
        <v>0</v>
      </c>
      <c r="J179" s="86">
        <v>0</v>
      </c>
      <c r="K179" s="87">
        <v>0</v>
      </c>
      <c r="L179" s="86">
        <v>0</v>
      </c>
      <c r="M179" s="86">
        <v>515016</v>
      </c>
      <c r="N179" s="86">
        <v>0</v>
      </c>
      <c r="O179" s="86">
        <v>0</v>
      </c>
      <c r="P179" s="86">
        <v>0</v>
      </c>
      <c r="Q179" s="86">
        <v>0</v>
      </c>
      <c r="R179" s="86">
        <v>0</v>
      </c>
      <c r="S179" s="86">
        <v>0</v>
      </c>
      <c r="T179" s="86">
        <v>0</v>
      </c>
      <c r="U179" s="86">
        <v>0</v>
      </c>
      <c r="V179" s="86">
        <v>0</v>
      </c>
      <c r="W179" s="86">
        <v>0</v>
      </c>
      <c r="X179" s="86">
        <v>0</v>
      </c>
      <c r="Y179" s="86">
        <v>0</v>
      </c>
      <c r="Z179" s="86">
        <v>0</v>
      </c>
      <c r="AA179" s="86">
        <v>0</v>
      </c>
      <c r="AB179" s="88">
        <v>2020</v>
      </c>
    </row>
    <row r="180" spans="1:28" s="1" customFormat="1" ht="35.25" customHeight="1">
      <c r="A180" s="1">
        <v>1</v>
      </c>
      <c r="B180" s="38">
        <f>SUBTOTAL(103,$A$11:A180)</f>
        <v>168</v>
      </c>
      <c r="C180" s="82" t="s">
        <v>678</v>
      </c>
      <c r="D180" s="83">
        <f>E180+F180+G180+H180+I180+J180+L180+M180+N180+O180+P180+Q180+R180+S180+T180+U180+V180+W180+X180+Y180+Z180+AA180</f>
        <v>144846</v>
      </c>
      <c r="E180" s="86">
        <v>0</v>
      </c>
      <c r="F180" s="86">
        <v>0</v>
      </c>
      <c r="G180" s="86">
        <v>144846</v>
      </c>
      <c r="H180" s="86">
        <v>0</v>
      </c>
      <c r="I180" s="86">
        <v>0</v>
      </c>
      <c r="J180" s="86">
        <v>0</v>
      </c>
      <c r="K180" s="87">
        <v>0</v>
      </c>
      <c r="L180" s="86">
        <v>0</v>
      </c>
      <c r="M180" s="86">
        <v>0</v>
      </c>
      <c r="N180" s="86">
        <v>0</v>
      </c>
      <c r="O180" s="86">
        <v>0</v>
      </c>
      <c r="P180" s="86">
        <v>0</v>
      </c>
      <c r="Q180" s="86">
        <v>0</v>
      </c>
      <c r="R180" s="86">
        <v>0</v>
      </c>
      <c r="S180" s="86">
        <v>0</v>
      </c>
      <c r="T180" s="86">
        <v>0</v>
      </c>
      <c r="U180" s="86">
        <v>0</v>
      </c>
      <c r="V180" s="86">
        <v>0</v>
      </c>
      <c r="W180" s="86">
        <v>0</v>
      </c>
      <c r="X180" s="86">
        <v>0</v>
      </c>
      <c r="Y180" s="86">
        <v>0</v>
      </c>
      <c r="Z180" s="86">
        <v>0</v>
      </c>
      <c r="AA180" s="86">
        <v>0</v>
      </c>
      <c r="AB180" s="88">
        <v>2020</v>
      </c>
    </row>
    <row r="181" spans="1:28" s="1" customFormat="1" ht="35.25" customHeight="1">
      <c r="A181" s="1">
        <v>1</v>
      </c>
      <c r="B181" s="38">
        <f>SUBTOTAL(103,$A$11:A181)</f>
        <v>169</v>
      </c>
      <c r="C181" s="82" t="s">
        <v>679</v>
      </c>
      <c r="D181" s="83">
        <f>E181+F181+G181+H181+I181+J181+L181+M181+N181+O181+P181+Q181+R181+S181+T181+U181+V181+W181+X181+Y181+Z181+AA181</f>
        <v>276982</v>
      </c>
      <c r="E181" s="86">
        <v>0</v>
      </c>
      <c r="F181" s="86">
        <v>0</v>
      </c>
      <c r="G181" s="86">
        <v>0</v>
      </c>
      <c r="H181" s="86">
        <v>0</v>
      </c>
      <c r="I181" s="86">
        <v>0</v>
      </c>
      <c r="J181" s="86">
        <v>0</v>
      </c>
      <c r="K181" s="87">
        <v>0</v>
      </c>
      <c r="L181" s="86">
        <v>0</v>
      </c>
      <c r="M181" s="86">
        <v>0</v>
      </c>
      <c r="N181" s="86">
        <v>0</v>
      </c>
      <c r="O181" s="86">
        <v>276982</v>
      </c>
      <c r="P181" s="86">
        <v>0</v>
      </c>
      <c r="Q181" s="86">
        <v>0</v>
      </c>
      <c r="R181" s="86">
        <v>0</v>
      </c>
      <c r="S181" s="86">
        <v>0</v>
      </c>
      <c r="T181" s="86">
        <v>0</v>
      </c>
      <c r="U181" s="86">
        <v>0</v>
      </c>
      <c r="V181" s="86">
        <v>0</v>
      </c>
      <c r="W181" s="86">
        <v>0</v>
      </c>
      <c r="X181" s="86">
        <v>0</v>
      </c>
      <c r="Y181" s="86">
        <v>0</v>
      </c>
      <c r="Z181" s="86">
        <v>0</v>
      </c>
      <c r="AA181" s="86">
        <v>0</v>
      </c>
      <c r="AB181" s="88">
        <v>2020</v>
      </c>
    </row>
    <row r="182" spans="1:28" s="1" customFormat="1" ht="35.25" customHeight="1">
      <c r="A182" s="1">
        <v>1</v>
      </c>
      <c r="B182" s="38">
        <f>SUBTOTAL(103,$A$11:A182)</f>
        <v>170</v>
      </c>
      <c r="C182" s="82" t="s">
        <v>680</v>
      </c>
      <c r="D182" s="83">
        <f>E182+F182+G182+H182+I182+J182+L182+M182+N182+O182+P182+Q182+R182+S182+T182+U182+V182+W182+X182+Y182+Z182+AA182</f>
        <v>1316629</v>
      </c>
      <c r="E182" s="86">
        <v>0</v>
      </c>
      <c r="F182" s="86">
        <v>0</v>
      </c>
      <c r="G182" s="86">
        <v>0</v>
      </c>
      <c r="H182" s="86">
        <v>0</v>
      </c>
      <c r="I182" s="86">
        <v>0</v>
      </c>
      <c r="J182" s="86">
        <v>0</v>
      </c>
      <c r="K182" s="87">
        <v>0</v>
      </c>
      <c r="L182" s="86">
        <v>0</v>
      </c>
      <c r="M182" s="86">
        <v>1316629</v>
      </c>
      <c r="N182" s="86">
        <v>0</v>
      </c>
      <c r="O182" s="86">
        <v>0</v>
      </c>
      <c r="P182" s="86">
        <v>0</v>
      </c>
      <c r="Q182" s="86">
        <v>0</v>
      </c>
      <c r="R182" s="86">
        <v>0</v>
      </c>
      <c r="S182" s="86">
        <v>0</v>
      </c>
      <c r="T182" s="86">
        <v>0</v>
      </c>
      <c r="U182" s="86">
        <v>0</v>
      </c>
      <c r="V182" s="86">
        <v>0</v>
      </c>
      <c r="W182" s="86">
        <v>0</v>
      </c>
      <c r="X182" s="86">
        <v>0</v>
      </c>
      <c r="Y182" s="86">
        <v>0</v>
      </c>
      <c r="Z182" s="86">
        <v>0</v>
      </c>
      <c r="AA182" s="86">
        <v>0</v>
      </c>
      <c r="AB182" s="88">
        <v>2020</v>
      </c>
    </row>
    <row r="183" spans="1:28" s="1" customFormat="1" ht="35.25" customHeight="1">
      <c r="A183" s="1">
        <v>1</v>
      </c>
      <c r="B183" s="38">
        <f>SUBTOTAL(103,$A$11:A183)</f>
        <v>171</v>
      </c>
      <c r="C183" s="91" t="s">
        <v>681</v>
      </c>
      <c r="D183" s="83">
        <v>1247639</v>
      </c>
      <c r="E183" s="89">
        <v>0</v>
      </c>
      <c r="F183" s="89">
        <v>0</v>
      </c>
      <c r="G183" s="89">
        <v>0</v>
      </c>
      <c r="H183" s="89">
        <v>0</v>
      </c>
      <c r="I183" s="89">
        <v>0</v>
      </c>
      <c r="J183" s="89">
        <v>0</v>
      </c>
      <c r="K183" s="87">
        <v>0</v>
      </c>
      <c r="L183" s="89">
        <v>0</v>
      </c>
      <c r="M183" s="89">
        <v>1247639</v>
      </c>
      <c r="N183" s="89">
        <v>0</v>
      </c>
      <c r="O183" s="89">
        <v>0</v>
      </c>
      <c r="P183" s="89">
        <v>0</v>
      </c>
      <c r="Q183" s="89">
        <v>0</v>
      </c>
      <c r="R183" s="89">
        <v>0</v>
      </c>
      <c r="S183" s="89">
        <v>0</v>
      </c>
      <c r="T183" s="89">
        <v>0</v>
      </c>
      <c r="U183" s="89">
        <v>0</v>
      </c>
      <c r="V183" s="89">
        <v>0</v>
      </c>
      <c r="W183" s="89">
        <v>0</v>
      </c>
      <c r="X183" s="89">
        <v>0</v>
      </c>
      <c r="Y183" s="89">
        <v>0</v>
      </c>
      <c r="Z183" s="89">
        <v>0</v>
      </c>
      <c r="AA183" s="89">
        <v>0</v>
      </c>
      <c r="AB183" s="88">
        <v>2020</v>
      </c>
    </row>
    <row r="184" spans="1:28" s="1" customFormat="1" ht="35.25" customHeight="1">
      <c r="B184" s="81" t="s">
        <v>96</v>
      </c>
      <c r="C184" s="82"/>
      <c r="D184" s="83">
        <f t="shared" ref="D184:AA184" si="6">SUM(D185:D199)</f>
        <v>9806055.8399999999</v>
      </c>
      <c r="E184" s="83">
        <f t="shared" si="6"/>
        <v>467041.56000000006</v>
      </c>
      <c r="F184" s="83">
        <f t="shared" si="6"/>
        <v>0</v>
      </c>
      <c r="G184" s="83">
        <f t="shared" si="6"/>
        <v>0</v>
      </c>
      <c r="H184" s="83">
        <f t="shared" si="6"/>
        <v>0</v>
      </c>
      <c r="I184" s="83">
        <f t="shared" si="6"/>
        <v>0</v>
      </c>
      <c r="J184" s="83">
        <f t="shared" si="6"/>
        <v>0</v>
      </c>
      <c r="K184" s="87">
        <f t="shared" si="6"/>
        <v>0</v>
      </c>
      <c r="L184" s="83">
        <f t="shared" si="6"/>
        <v>0</v>
      </c>
      <c r="M184" s="83">
        <f t="shared" si="6"/>
        <v>8238613.7299999995</v>
      </c>
      <c r="N184" s="83">
        <f t="shared" si="6"/>
        <v>0</v>
      </c>
      <c r="O184" s="83">
        <f t="shared" si="6"/>
        <v>1100400.55</v>
      </c>
      <c r="P184" s="83">
        <f t="shared" si="6"/>
        <v>0</v>
      </c>
      <c r="Q184" s="83">
        <f t="shared" si="6"/>
        <v>0</v>
      </c>
      <c r="R184" s="83">
        <f t="shared" si="6"/>
        <v>0</v>
      </c>
      <c r="S184" s="83">
        <f t="shared" si="6"/>
        <v>0</v>
      </c>
      <c r="T184" s="83">
        <f t="shared" si="6"/>
        <v>0</v>
      </c>
      <c r="U184" s="83">
        <f t="shared" si="6"/>
        <v>0</v>
      </c>
      <c r="V184" s="83">
        <f t="shared" si="6"/>
        <v>0</v>
      </c>
      <c r="W184" s="83">
        <f t="shared" si="6"/>
        <v>0</v>
      </c>
      <c r="X184" s="83">
        <f t="shared" si="6"/>
        <v>0</v>
      </c>
      <c r="Y184" s="83">
        <f t="shared" si="6"/>
        <v>0</v>
      </c>
      <c r="Z184" s="83">
        <f t="shared" si="6"/>
        <v>0</v>
      </c>
      <c r="AA184" s="83">
        <f t="shared" si="6"/>
        <v>0</v>
      </c>
      <c r="AB184" s="85" t="s">
        <v>131</v>
      </c>
    </row>
    <row r="185" spans="1:28" s="1" customFormat="1" ht="35.25" customHeight="1">
      <c r="A185" s="1">
        <v>1</v>
      </c>
      <c r="B185" s="38">
        <f>SUBTOTAL(103,$A$11:A185)</f>
        <v>172</v>
      </c>
      <c r="C185" s="82" t="s">
        <v>682</v>
      </c>
      <c r="D185" s="83">
        <f>E185+F185+G185+H185+I185+J185+L185+M185+N185+O185+P185+Q185+R185+S185+T185+U185+V185+W185+X185+Y185+Z185+AA185</f>
        <v>795195</v>
      </c>
      <c r="E185" s="86">
        <v>0</v>
      </c>
      <c r="F185" s="86">
        <v>0</v>
      </c>
      <c r="G185" s="86">
        <v>0</v>
      </c>
      <c r="H185" s="86">
        <v>0</v>
      </c>
      <c r="I185" s="86">
        <v>0</v>
      </c>
      <c r="J185" s="86">
        <v>0</v>
      </c>
      <c r="K185" s="87">
        <v>0</v>
      </c>
      <c r="L185" s="86">
        <v>0</v>
      </c>
      <c r="M185" s="86">
        <v>795195</v>
      </c>
      <c r="N185" s="86">
        <v>0</v>
      </c>
      <c r="O185" s="86">
        <v>0</v>
      </c>
      <c r="P185" s="86">
        <v>0</v>
      </c>
      <c r="Q185" s="86">
        <v>0</v>
      </c>
      <c r="R185" s="86">
        <v>0</v>
      </c>
      <c r="S185" s="86">
        <v>0</v>
      </c>
      <c r="T185" s="86">
        <v>0</v>
      </c>
      <c r="U185" s="86">
        <v>0</v>
      </c>
      <c r="V185" s="86">
        <v>0</v>
      </c>
      <c r="W185" s="86">
        <v>0</v>
      </c>
      <c r="X185" s="86">
        <v>0</v>
      </c>
      <c r="Y185" s="86">
        <v>0</v>
      </c>
      <c r="Z185" s="86">
        <v>0</v>
      </c>
      <c r="AA185" s="86">
        <v>0</v>
      </c>
      <c r="AB185" s="88">
        <v>2020</v>
      </c>
    </row>
    <row r="186" spans="1:28" s="1" customFormat="1" ht="35.25" customHeight="1">
      <c r="A186" s="1">
        <v>1</v>
      </c>
      <c r="B186" s="38">
        <f>SUBTOTAL(103,$A$11:A186)</f>
        <v>173</v>
      </c>
      <c r="C186" s="82" t="s">
        <v>683</v>
      </c>
      <c r="D186" s="83">
        <f>E186+F186+G186+H186+I186+J186+L186+M186+N186+O186+P186+Q186+R186+S186+T186+U186+V186+W186+X186+Y186+Z186+AA186</f>
        <v>1098000</v>
      </c>
      <c r="E186" s="86">
        <v>0</v>
      </c>
      <c r="F186" s="86">
        <v>0</v>
      </c>
      <c r="G186" s="86">
        <v>0</v>
      </c>
      <c r="H186" s="86">
        <v>0</v>
      </c>
      <c r="I186" s="86">
        <v>0</v>
      </c>
      <c r="J186" s="86">
        <v>0</v>
      </c>
      <c r="K186" s="87">
        <v>0</v>
      </c>
      <c r="L186" s="86">
        <v>0</v>
      </c>
      <c r="M186" s="86">
        <v>1098000</v>
      </c>
      <c r="N186" s="86">
        <v>0</v>
      </c>
      <c r="O186" s="86">
        <v>0</v>
      </c>
      <c r="P186" s="86">
        <v>0</v>
      </c>
      <c r="Q186" s="86">
        <v>0</v>
      </c>
      <c r="R186" s="86">
        <v>0</v>
      </c>
      <c r="S186" s="86">
        <v>0</v>
      </c>
      <c r="T186" s="86">
        <v>0</v>
      </c>
      <c r="U186" s="86">
        <v>0</v>
      </c>
      <c r="V186" s="86">
        <v>0</v>
      </c>
      <c r="W186" s="86">
        <v>0</v>
      </c>
      <c r="X186" s="86">
        <v>0</v>
      </c>
      <c r="Y186" s="86">
        <v>0</v>
      </c>
      <c r="Z186" s="86">
        <v>0</v>
      </c>
      <c r="AA186" s="86">
        <v>0</v>
      </c>
      <c r="AB186" s="88">
        <v>2020</v>
      </c>
    </row>
    <row r="187" spans="1:28" s="1" customFormat="1" ht="35.25" customHeight="1">
      <c r="A187" s="1">
        <v>1</v>
      </c>
      <c r="B187" s="38">
        <f>SUBTOTAL(103,$A$11:A187)</f>
        <v>174</v>
      </c>
      <c r="C187" s="82" t="s">
        <v>684</v>
      </c>
      <c r="D187" s="83">
        <f t="shared" ref="D187:D198" si="7">E187+F187+G187+H187+I187+J187+L187+M187+N187+O187+P187+Q187+R187+S187+T187+U187+V187+W187+X187+Y187+Z187+AA187</f>
        <v>200000</v>
      </c>
      <c r="E187" s="86">
        <v>0</v>
      </c>
      <c r="F187" s="86">
        <v>0</v>
      </c>
      <c r="G187" s="86">
        <v>0</v>
      </c>
      <c r="H187" s="86">
        <v>0</v>
      </c>
      <c r="I187" s="86">
        <v>0</v>
      </c>
      <c r="J187" s="86">
        <v>0</v>
      </c>
      <c r="K187" s="87">
        <v>0</v>
      </c>
      <c r="L187" s="86">
        <v>0</v>
      </c>
      <c r="M187" s="86">
        <v>200000</v>
      </c>
      <c r="N187" s="86">
        <v>0</v>
      </c>
      <c r="O187" s="86">
        <v>0</v>
      </c>
      <c r="P187" s="86">
        <v>0</v>
      </c>
      <c r="Q187" s="86">
        <v>0</v>
      </c>
      <c r="R187" s="86">
        <v>0</v>
      </c>
      <c r="S187" s="86">
        <v>0</v>
      </c>
      <c r="T187" s="86">
        <v>0</v>
      </c>
      <c r="U187" s="86">
        <v>0</v>
      </c>
      <c r="V187" s="86">
        <v>0</v>
      </c>
      <c r="W187" s="86">
        <v>0</v>
      </c>
      <c r="X187" s="86">
        <v>0</v>
      </c>
      <c r="Y187" s="86">
        <v>0</v>
      </c>
      <c r="Z187" s="86">
        <v>0</v>
      </c>
      <c r="AA187" s="86">
        <v>0</v>
      </c>
      <c r="AB187" s="88">
        <v>2020</v>
      </c>
    </row>
    <row r="188" spans="1:28" s="1" customFormat="1" ht="35.25" customHeight="1">
      <c r="A188" s="1">
        <v>1</v>
      </c>
      <c r="B188" s="38">
        <f>SUBTOTAL(103,$A$11:A188)</f>
        <v>175</v>
      </c>
      <c r="C188" s="82" t="s">
        <v>685</v>
      </c>
      <c r="D188" s="83">
        <f t="shared" si="7"/>
        <v>61367.98</v>
      </c>
      <c r="E188" s="86">
        <v>0</v>
      </c>
      <c r="F188" s="86">
        <v>0</v>
      </c>
      <c r="G188" s="86">
        <v>0</v>
      </c>
      <c r="H188" s="86">
        <v>0</v>
      </c>
      <c r="I188" s="86">
        <v>0</v>
      </c>
      <c r="J188" s="86">
        <v>0</v>
      </c>
      <c r="K188" s="87">
        <v>0</v>
      </c>
      <c r="L188" s="86">
        <v>0</v>
      </c>
      <c r="M188" s="86">
        <v>0</v>
      </c>
      <c r="N188" s="86">
        <v>0</v>
      </c>
      <c r="O188" s="86">
        <v>61367.98</v>
      </c>
      <c r="P188" s="86">
        <v>0</v>
      </c>
      <c r="Q188" s="86">
        <v>0</v>
      </c>
      <c r="R188" s="86">
        <v>0</v>
      </c>
      <c r="S188" s="86">
        <v>0</v>
      </c>
      <c r="T188" s="86">
        <v>0</v>
      </c>
      <c r="U188" s="86">
        <v>0</v>
      </c>
      <c r="V188" s="86">
        <v>0</v>
      </c>
      <c r="W188" s="86">
        <v>0</v>
      </c>
      <c r="X188" s="86">
        <v>0</v>
      </c>
      <c r="Y188" s="86">
        <v>0</v>
      </c>
      <c r="Z188" s="86">
        <v>0</v>
      </c>
      <c r="AA188" s="86">
        <v>0</v>
      </c>
      <c r="AB188" s="88">
        <v>2020</v>
      </c>
    </row>
    <row r="189" spans="1:28" s="1" customFormat="1" ht="35.25" customHeight="1">
      <c r="A189" s="1">
        <v>1</v>
      </c>
      <c r="B189" s="38">
        <f>SUBTOTAL(103,$A$11:A189)</f>
        <v>176</v>
      </c>
      <c r="C189" s="82" t="s">
        <v>686</v>
      </c>
      <c r="D189" s="83">
        <f t="shared" si="7"/>
        <v>1400026</v>
      </c>
      <c r="E189" s="86">
        <v>0</v>
      </c>
      <c r="F189" s="86">
        <v>0</v>
      </c>
      <c r="G189" s="86">
        <v>0</v>
      </c>
      <c r="H189" s="86">
        <v>0</v>
      </c>
      <c r="I189" s="86">
        <v>0</v>
      </c>
      <c r="J189" s="86">
        <v>0</v>
      </c>
      <c r="K189" s="87">
        <v>0</v>
      </c>
      <c r="L189" s="86">
        <v>0</v>
      </c>
      <c r="M189" s="86">
        <v>1400026</v>
      </c>
      <c r="N189" s="86">
        <v>0</v>
      </c>
      <c r="O189" s="86">
        <v>0</v>
      </c>
      <c r="P189" s="86">
        <v>0</v>
      </c>
      <c r="Q189" s="86">
        <v>0</v>
      </c>
      <c r="R189" s="86">
        <v>0</v>
      </c>
      <c r="S189" s="86">
        <v>0</v>
      </c>
      <c r="T189" s="86">
        <v>0</v>
      </c>
      <c r="U189" s="86">
        <v>0</v>
      </c>
      <c r="V189" s="86">
        <v>0</v>
      </c>
      <c r="W189" s="86">
        <v>0</v>
      </c>
      <c r="X189" s="86">
        <v>0</v>
      </c>
      <c r="Y189" s="86">
        <v>0</v>
      </c>
      <c r="Z189" s="86">
        <v>0</v>
      </c>
      <c r="AA189" s="86">
        <v>0</v>
      </c>
      <c r="AB189" s="88">
        <v>2020</v>
      </c>
    </row>
    <row r="190" spans="1:28" s="1" customFormat="1" ht="35.25" customHeight="1">
      <c r="A190" s="1">
        <v>1</v>
      </c>
      <c r="B190" s="38">
        <f>SUBTOTAL(103,$A$11:A190)</f>
        <v>177</v>
      </c>
      <c r="C190" s="82" t="s">
        <v>687</v>
      </c>
      <c r="D190" s="83">
        <f t="shared" si="7"/>
        <v>337102.5</v>
      </c>
      <c r="E190" s="86">
        <v>0</v>
      </c>
      <c r="F190" s="86">
        <v>0</v>
      </c>
      <c r="G190" s="86">
        <v>0</v>
      </c>
      <c r="H190" s="86">
        <v>0</v>
      </c>
      <c r="I190" s="86">
        <v>0</v>
      </c>
      <c r="J190" s="86">
        <v>0</v>
      </c>
      <c r="K190" s="87">
        <v>0</v>
      </c>
      <c r="L190" s="86">
        <v>0</v>
      </c>
      <c r="M190" s="86">
        <v>0</v>
      </c>
      <c r="N190" s="86">
        <v>0</v>
      </c>
      <c r="O190" s="86">
        <v>337102.5</v>
      </c>
      <c r="P190" s="86">
        <v>0</v>
      </c>
      <c r="Q190" s="86">
        <v>0</v>
      </c>
      <c r="R190" s="86">
        <v>0</v>
      </c>
      <c r="S190" s="86">
        <v>0</v>
      </c>
      <c r="T190" s="86">
        <v>0</v>
      </c>
      <c r="U190" s="86">
        <v>0</v>
      </c>
      <c r="V190" s="86">
        <v>0</v>
      </c>
      <c r="W190" s="86">
        <v>0</v>
      </c>
      <c r="X190" s="86">
        <v>0</v>
      </c>
      <c r="Y190" s="86">
        <v>0</v>
      </c>
      <c r="Z190" s="86">
        <v>0</v>
      </c>
      <c r="AA190" s="86">
        <v>0</v>
      </c>
      <c r="AB190" s="88">
        <v>2020</v>
      </c>
    </row>
    <row r="191" spans="1:28" s="1" customFormat="1" ht="35.25" customHeight="1">
      <c r="A191" s="1">
        <v>1</v>
      </c>
      <c r="B191" s="38">
        <f>SUBTOTAL(103,$A$11:A191)</f>
        <v>178</v>
      </c>
      <c r="C191" s="82" t="s">
        <v>688</v>
      </c>
      <c r="D191" s="83">
        <f t="shared" si="7"/>
        <v>116978.6</v>
      </c>
      <c r="E191" s="86">
        <v>0</v>
      </c>
      <c r="F191" s="86">
        <v>0</v>
      </c>
      <c r="G191" s="86">
        <v>0</v>
      </c>
      <c r="H191" s="86">
        <v>0</v>
      </c>
      <c r="I191" s="86">
        <v>0</v>
      </c>
      <c r="J191" s="86">
        <v>0</v>
      </c>
      <c r="K191" s="87">
        <v>0</v>
      </c>
      <c r="L191" s="86">
        <v>0</v>
      </c>
      <c r="M191" s="86">
        <v>0</v>
      </c>
      <c r="N191" s="86">
        <v>0</v>
      </c>
      <c r="O191" s="86">
        <v>116978.6</v>
      </c>
      <c r="P191" s="86">
        <v>0</v>
      </c>
      <c r="Q191" s="86">
        <v>0</v>
      </c>
      <c r="R191" s="86">
        <v>0</v>
      </c>
      <c r="S191" s="86">
        <v>0</v>
      </c>
      <c r="T191" s="86">
        <v>0</v>
      </c>
      <c r="U191" s="86">
        <v>0</v>
      </c>
      <c r="V191" s="86">
        <v>0</v>
      </c>
      <c r="W191" s="86">
        <v>0</v>
      </c>
      <c r="X191" s="86">
        <v>0</v>
      </c>
      <c r="Y191" s="86">
        <v>0</v>
      </c>
      <c r="Z191" s="86">
        <v>0</v>
      </c>
      <c r="AA191" s="86">
        <v>0</v>
      </c>
      <c r="AB191" s="88">
        <v>2020</v>
      </c>
    </row>
    <row r="192" spans="1:28" s="1" customFormat="1" ht="35.25" customHeight="1">
      <c r="A192" s="1">
        <v>1</v>
      </c>
      <c r="B192" s="38">
        <f>SUBTOTAL(103,$A$11:A192)</f>
        <v>179</v>
      </c>
      <c r="C192" s="82" t="s">
        <v>689</v>
      </c>
      <c r="D192" s="83">
        <f t="shared" si="7"/>
        <v>1743260</v>
      </c>
      <c r="E192" s="86">
        <v>0</v>
      </c>
      <c r="F192" s="86">
        <v>0</v>
      </c>
      <c r="G192" s="86">
        <v>0</v>
      </c>
      <c r="H192" s="86">
        <v>0</v>
      </c>
      <c r="I192" s="86">
        <v>0</v>
      </c>
      <c r="J192" s="86">
        <v>0</v>
      </c>
      <c r="K192" s="87">
        <v>0</v>
      </c>
      <c r="L192" s="86">
        <v>0</v>
      </c>
      <c r="M192" s="86">
        <v>1743260</v>
      </c>
      <c r="N192" s="86">
        <v>0</v>
      </c>
      <c r="O192" s="86">
        <v>0</v>
      </c>
      <c r="P192" s="86">
        <v>0</v>
      </c>
      <c r="Q192" s="86">
        <v>0</v>
      </c>
      <c r="R192" s="86">
        <v>0</v>
      </c>
      <c r="S192" s="86">
        <v>0</v>
      </c>
      <c r="T192" s="86">
        <v>0</v>
      </c>
      <c r="U192" s="86">
        <v>0</v>
      </c>
      <c r="V192" s="86">
        <v>0</v>
      </c>
      <c r="W192" s="86">
        <v>0</v>
      </c>
      <c r="X192" s="86">
        <v>0</v>
      </c>
      <c r="Y192" s="86">
        <v>0</v>
      </c>
      <c r="Z192" s="86">
        <v>0</v>
      </c>
      <c r="AA192" s="86">
        <v>0</v>
      </c>
      <c r="AB192" s="88">
        <v>2020</v>
      </c>
    </row>
    <row r="193" spans="1:28" s="1" customFormat="1" ht="35.25" customHeight="1">
      <c r="A193" s="1">
        <v>1</v>
      </c>
      <c r="B193" s="38">
        <f>SUBTOTAL(103,$A$11:A193)</f>
        <v>180</v>
      </c>
      <c r="C193" s="82" t="s">
        <v>690</v>
      </c>
      <c r="D193" s="83">
        <f t="shared" si="7"/>
        <v>443151.81</v>
      </c>
      <c r="E193" s="86">
        <v>0</v>
      </c>
      <c r="F193" s="86">
        <v>0</v>
      </c>
      <c r="G193" s="86">
        <v>0</v>
      </c>
      <c r="H193" s="86">
        <v>0</v>
      </c>
      <c r="I193" s="86">
        <v>0</v>
      </c>
      <c r="J193" s="86">
        <v>0</v>
      </c>
      <c r="K193" s="87">
        <v>0</v>
      </c>
      <c r="L193" s="86">
        <v>0</v>
      </c>
      <c r="M193" s="86">
        <v>443151.81</v>
      </c>
      <c r="N193" s="86">
        <v>0</v>
      </c>
      <c r="O193" s="86">
        <v>0</v>
      </c>
      <c r="P193" s="86">
        <v>0</v>
      </c>
      <c r="Q193" s="86">
        <v>0</v>
      </c>
      <c r="R193" s="86">
        <v>0</v>
      </c>
      <c r="S193" s="86">
        <v>0</v>
      </c>
      <c r="T193" s="86">
        <v>0</v>
      </c>
      <c r="U193" s="86">
        <v>0</v>
      </c>
      <c r="V193" s="86">
        <v>0</v>
      </c>
      <c r="W193" s="86">
        <v>0</v>
      </c>
      <c r="X193" s="86">
        <v>0</v>
      </c>
      <c r="Y193" s="86">
        <v>0</v>
      </c>
      <c r="Z193" s="86">
        <v>0</v>
      </c>
      <c r="AA193" s="86">
        <v>0</v>
      </c>
      <c r="AB193" s="88">
        <v>2020</v>
      </c>
    </row>
    <row r="194" spans="1:28" s="1" customFormat="1" ht="35.25" customHeight="1">
      <c r="A194" s="1">
        <v>1</v>
      </c>
      <c r="B194" s="38">
        <f>SUBTOTAL(103,$A$11:A194)</f>
        <v>181</v>
      </c>
      <c r="C194" s="82" t="s">
        <v>691</v>
      </c>
      <c r="D194" s="83">
        <f t="shared" si="7"/>
        <v>234011.67</v>
      </c>
      <c r="E194" s="86">
        <v>0</v>
      </c>
      <c r="F194" s="86">
        <v>0</v>
      </c>
      <c r="G194" s="86">
        <v>0</v>
      </c>
      <c r="H194" s="86">
        <v>0</v>
      </c>
      <c r="I194" s="86">
        <v>0</v>
      </c>
      <c r="J194" s="86">
        <v>0</v>
      </c>
      <c r="K194" s="87">
        <v>0</v>
      </c>
      <c r="L194" s="86">
        <v>0</v>
      </c>
      <c r="M194" s="86">
        <v>0</v>
      </c>
      <c r="N194" s="86">
        <v>0</v>
      </c>
      <c r="O194" s="86">
        <v>234011.67</v>
      </c>
      <c r="P194" s="86">
        <v>0</v>
      </c>
      <c r="Q194" s="86">
        <v>0</v>
      </c>
      <c r="R194" s="86">
        <v>0</v>
      </c>
      <c r="S194" s="86">
        <v>0</v>
      </c>
      <c r="T194" s="86">
        <v>0</v>
      </c>
      <c r="U194" s="86">
        <v>0</v>
      </c>
      <c r="V194" s="86">
        <v>0</v>
      </c>
      <c r="W194" s="86">
        <v>0</v>
      </c>
      <c r="X194" s="86">
        <v>0</v>
      </c>
      <c r="Y194" s="86">
        <v>0</v>
      </c>
      <c r="Z194" s="86">
        <v>0</v>
      </c>
      <c r="AA194" s="86">
        <v>0</v>
      </c>
      <c r="AB194" s="88">
        <v>2020</v>
      </c>
    </row>
    <row r="195" spans="1:28" s="1" customFormat="1" ht="35.25" customHeight="1">
      <c r="A195" s="1">
        <v>1</v>
      </c>
      <c r="B195" s="38">
        <f>SUBTOTAL(103,$A$11:A195)</f>
        <v>182</v>
      </c>
      <c r="C195" s="82" t="s">
        <v>692</v>
      </c>
      <c r="D195" s="83">
        <f t="shared" si="7"/>
        <v>257497.1</v>
      </c>
      <c r="E195" s="86">
        <v>0</v>
      </c>
      <c r="F195" s="86">
        <v>0</v>
      </c>
      <c r="G195" s="86">
        <v>0</v>
      </c>
      <c r="H195" s="86">
        <v>0</v>
      </c>
      <c r="I195" s="86">
        <v>0</v>
      </c>
      <c r="J195" s="86">
        <v>0</v>
      </c>
      <c r="K195" s="87">
        <v>0</v>
      </c>
      <c r="L195" s="86">
        <v>0</v>
      </c>
      <c r="M195" s="86">
        <v>0</v>
      </c>
      <c r="N195" s="86">
        <v>0</v>
      </c>
      <c r="O195" s="86">
        <v>257497.1</v>
      </c>
      <c r="P195" s="86">
        <v>0</v>
      </c>
      <c r="Q195" s="86">
        <v>0</v>
      </c>
      <c r="R195" s="86">
        <v>0</v>
      </c>
      <c r="S195" s="86">
        <v>0</v>
      </c>
      <c r="T195" s="86">
        <v>0</v>
      </c>
      <c r="U195" s="86">
        <v>0</v>
      </c>
      <c r="V195" s="86">
        <v>0</v>
      </c>
      <c r="W195" s="86">
        <v>0</v>
      </c>
      <c r="X195" s="86">
        <v>0</v>
      </c>
      <c r="Y195" s="86">
        <v>0</v>
      </c>
      <c r="Z195" s="86">
        <v>0</v>
      </c>
      <c r="AA195" s="86">
        <v>0</v>
      </c>
      <c r="AB195" s="88">
        <v>2020</v>
      </c>
    </row>
    <row r="196" spans="1:28" s="1" customFormat="1" ht="35.25" customHeight="1">
      <c r="A196" s="1">
        <v>1</v>
      </c>
      <c r="B196" s="38">
        <f>SUBTOTAL(103,$A$11:A196)</f>
        <v>183</v>
      </c>
      <c r="C196" s="82" t="s">
        <v>693</v>
      </c>
      <c r="D196" s="83">
        <f t="shared" si="7"/>
        <v>654544.92000000004</v>
      </c>
      <c r="E196" s="86">
        <v>0</v>
      </c>
      <c r="F196" s="86">
        <v>0</v>
      </c>
      <c r="G196" s="86">
        <v>0</v>
      </c>
      <c r="H196" s="86">
        <v>0</v>
      </c>
      <c r="I196" s="86">
        <v>0</v>
      </c>
      <c r="J196" s="86">
        <v>0</v>
      </c>
      <c r="K196" s="87">
        <v>0</v>
      </c>
      <c r="L196" s="86">
        <v>0</v>
      </c>
      <c r="M196" s="86">
        <v>654544.92000000004</v>
      </c>
      <c r="N196" s="86">
        <v>0</v>
      </c>
      <c r="O196" s="86">
        <v>0</v>
      </c>
      <c r="P196" s="86">
        <v>0</v>
      </c>
      <c r="Q196" s="86">
        <v>0</v>
      </c>
      <c r="R196" s="86">
        <v>0</v>
      </c>
      <c r="S196" s="86">
        <v>0</v>
      </c>
      <c r="T196" s="86">
        <v>0</v>
      </c>
      <c r="U196" s="86">
        <v>0</v>
      </c>
      <c r="V196" s="86">
        <v>0</v>
      </c>
      <c r="W196" s="86">
        <v>0</v>
      </c>
      <c r="X196" s="86">
        <v>0</v>
      </c>
      <c r="Y196" s="86">
        <v>0</v>
      </c>
      <c r="Z196" s="86">
        <v>0</v>
      </c>
      <c r="AA196" s="86">
        <v>0</v>
      </c>
      <c r="AB196" s="88">
        <v>2020</v>
      </c>
    </row>
    <row r="197" spans="1:28" s="1" customFormat="1" ht="35.25" customHeight="1">
      <c r="A197" s="1">
        <v>1</v>
      </c>
      <c r="B197" s="38">
        <f>SUBTOTAL(103,$A$11:A197)</f>
        <v>184</v>
      </c>
      <c r="C197" s="82" t="s">
        <v>694</v>
      </c>
      <c r="D197" s="83">
        <f t="shared" si="7"/>
        <v>179604.7</v>
      </c>
      <c r="E197" s="86">
        <v>0</v>
      </c>
      <c r="F197" s="86">
        <v>0</v>
      </c>
      <c r="G197" s="86">
        <v>0</v>
      </c>
      <c r="H197" s="86">
        <v>0</v>
      </c>
      <c r="I197" s="86">
        <v>0</v>
      </c>
      <c r="J197" s="86">
        <v>0</v>
      </c>
      <c r="K197" s="87">
        <v>0</v>
      </c>
      <c r="L197" s="86">
        <v>0</v>
      </c>
      <c r="M197" s="86">
        <v>86162</v>
      </c>
      <c r="N197" s="86">
        <v>0</v>
      </c>
      <c r="O197" s="86">
        <v>93442.7</v>
      </c>
      <c r="P197" s="86">
        <v>0</v>
      </c>
      <c r="Q197" s="86">
        <v>0</v>
      </c>
      <c r="R197" s="86">
        <v>0</v>
      </c>
      <c r="S197" s="86">
        <v>0</v>
      </c>
      <c r="T197" s="86">
        <v>0</v>
      </c>
      <c r="U197" s="86">
        <v>0</v>
      </c>
      <c r="V197" s="86">
        <v>0</v>
      </c>
      <c r="W197" s="86">
        <v>0</v>
      </c>
      <c r="X197" s="86">
        <v>0</v>
      </c>
      <c r="Y197" s="86">
        <v>0</v>
      </c>
      <c r="Z197" s="86">
        <v>0</v>
      </c>
      <c r="AA197" s="86">
        <v>0</v>
      </c>
      <c r="AB197" s="88">
        <v>2020</v>
      </c>
    </row>
    <row r="198" spans="1:28" s="1" customFormat="1" ht="35.25" customHeight="1">
      <c r="A198" s="1">
        <v>1</v>
      </c>
      <c r="B198" s="38">
        <f>SUBTOTAL(103,$A$11:A198)</f>
        <v>185</v>
      </c>
      <c r="C198" s="82" t="s">
        <v>695</v>
      </c>
      <c r="D198" s="83">
        <f t="shared" si="7"/>
        <v>1818274</v>
      </c>
      <c r="E198" s="86">
        <v>0</v>
      </c>
      <c r="F198" s="86">
        <v>0</v>
      </c>
      <c r="G198" s="86">
        <v>0</v>
      </c>
      <c r="H198" s="86">
        <v>0</v>
      </c>
      <c r="I198" s="86">
        <v>0</v>
      </c>
      <c r="J198" s="86">
        <v>0</v>
      </c>
      <c r="K198" s="87">
        <v>0</v>
      </c>
      <c r="L198" s="86">
        <v>0</v>
      </c>
      <c r="M198" s="86">
        <v>1818274</v>
      </c>
      <c r="N198" s="86">
        <v>0</v>
      </c>
      <c r="O198" s="86">
        <v>0</v>
      </c>
      <c r="P198" s="86">
        <v>0</v>
      </c>
      <c r="Q198" s="86">
        <v>0</v>
      </c>
      <c r="R198" s="86">
        <v>0</v>
      </c>
      <c r="S198" s="86">
        <v>0</v>
      </c>
      <c r="T198" s="86">
        <v>0</v>
      </c>
      <c r="U198" s="86">
        <v>0</v>
      </c>
      <c r="V198" s="86">
        <v>0</v>
      </c>
      <c r="W198" s="86">
        <v>0</v>
      </c>
      <c r="X198" s="86">
        <v>0</v>
      </c>
      <c r="Y198" s="86">
        <v>0</v>
      </c>
      <c r="Z198" s="86">
        <v>0</v>
      </c>
      <c r="AA198" s="86">
        <v>0</v>
      </c>
      <c r="AB198" s="88">
        <v>2020</v>
      </c>
    </row>
    <row r="199" spans="1:28" s="1" customFormat="1" ht="35.25" customHeight="1">
      <c r="A199" s="1">
        <v>1</v>
      </c>
      <c r="B199" s="38">
        <f>SUBTOTAL(103,$A$11:A199)</f>
        <v>186</v>
      </c>
      <c r="C199" s="82" t="s">
        <v>481</v>
      </c>
      <c r="D199" s="83">
        <f>E199+F199+G199+H199+I199+J199+L199+M199+N199+O199+P199+Q199+R199+S199+T199+U199+V199+W199+X199+Y199+Z199+AA199</f>
        <v>467041.56000000006</v>
      </c>
      <c r="E199" s="86">
        <v>467041.56000000006</v>
      </c>
      <c r="F199" s="86">
        <v>0</v>
      </c>
      <c r="G199" s="86">
        <v>0</v>
      </c>
      <c r="H199" s="86">
        <v>0</v>
      </c>
      <c r="I199" s="86">
        <v>0</v>
      </c>
      <c r="J199" s="86">
        <v>0</v>
      </c>
      <c r="K199" s="87">
        <v>0</v>
      </c>
      <c r="L199" s="86">
        <v>0</v>
      </c>
      <c r="M199" s="86">
        <v>0</v>
      </c>
      <c r="N199" s="86">
        <v>0</v>
      </c>
      <c r="O199" s="86">
        <v>0</v>
      </c>
      <c r="P199" s="86">
        <v>0</v>
      </c>
      <c r="Q199" s="86">
        <v>0</v>
      </c>
      <c r="R199" s="86">
        <v>0</v>
      </c>
      <c r="S199" s="86">
        <v>0</v>
      </c>
      <c r="T199" s="86">
        <v>0</v>
      </c>
      <c r="U199" s="86">
        <v>0</v>
      </c>
      <c r="V199" s="86">
        <v>0</v>
      </c>
      <c r="W199" s="86">
        <v>0</v>
      </c>
      <c r="X199" s="86">
        <v>0</v>
      </c>
      <c r="Y199" s="86">
        <v>0</v>
      </c>
      <c r="Z199" s="86">
        <v>0</v>
      </c>
      <c r="AA199" s="86">
        <v>0</v>
      </c>
      <c r="AB199" s="88">
        <v>2020</v>
      </c>
    </row>
    <row r="200" spans="1:28" s="1" customFormat="1" ht="35.25" customHeight="1">
      <c r="B200" s="92" t="s">
        <v>210</v>
      </c>
      <c r="C200" s="82"/>
      <c r="D200" s="83">
        <f t="shared" ref="D200:AA200" si="8">SUM(D201:D219)</f>
        <v>13015967.350000001</v>
      </c>
      <c r="E200" s="83">
        <f t="shared" si="8"/>
        <v>0</v>
      </c>
      <c r="F200" s="83">
        <f t="shared" si="8"/>
        <v>158850</v>
      </c>
      <c r="G200" s="83">
        <f t="shared" si="8"/>
        <v>3297757.6</v>
      </c>
      <c r="H200" s="83">
        <f t="shared" si="8"/>
        <v>180729</v>
      </c>
      <c r="I200" s="83">
        <f t="shared" si="8"/>
        <v>767639</v>
      </c>
      <c r="J200" s="83">
        <f t="shared" si="8"/>
        <v>0</v>
      </c>
      <c r="K200" s="84">
        <f t="shared" si="8"/>
        <v>0</v>
      </c>
      <c r="L200" s="83">
        <f t="shared" si="8"/>
        <v>0</v>
      </c>
      <c r="M200" s="83">
        <f t="shared" si="8"/>
        <v>5673268.7000000002</v>
      </c>
      <c r="N200" s="83">
        <f t="shared" si="8"/>
        <v>405002</v>
      </c>
      <c r="O200" s="83">
        <f t="shared" si="8"/>
        <v>2150881.7999999998</v>
      </c>
      <c r="P200" s="83">
        <f t="shared" si="8"/>
        <v>381839.25</v>
      </c>
      <c r="Q200" s="83">
        <f t="shared" si="8"/>
        <v>0</v>
      </c>
      <c r="R200" s="83">
        <f t="shared" si="8"/>
        <v>0</v>
      </c>
      <c r="S200" s="83">
        <f t="shared" si="8"/>
        <v>0</v>
      </c>
      <c r="T200" s="83">
        <f t="shared" si="8"/>
        <v>0</v>
      </c>
      <c r="U200" s="83">
        <f t="shared" si="8"/>
        <v>0</v>
      </c>
      <c r="V200" s="83">
        <f t="shared" si="8"/>
        <v>0</v>
      </c>
      <c r="W200" s="83">
        <f t="shared" si="8"/>
        <v>0</v>
      </c>
      <c r="X200" s="83">
        <f t="shared" si="8"/>
        <v>0</v>
      </c>
      <c r="Y200" s="83">
        <f t="shared" si="8"/>
        <v>0</v>
      </c>
      <c r="Z200" s="83">
        <f t="shared" si="8"/>
        <v>0</v>
      </c>
      <c r="AA200" s="83">
        <f t="shared" si="8"/>
        <v>0</v>
      </c>
      <c r="AB200" s="85" t="s">
        <v>131</v>
      </c>
    </row>
    <row r="201" spans="1:28" s="1" customFormat="1" ht="35.25" customHeight="1">
      <c r="A201" s="1">
        <v>1</v>
      </c>
      <c r="B201" s="38">
        <f>SUBTOTAL(103,$A$11:A201)</f>
        <v>187</v>
      </c>
      <c r="C201" s="82" t="s">
        <v>482</v>
      </c>
      <c r="D201" s="83">
        <f>E201+F201+G201+H201+I201+J201+L201+M201+N201+O201+P201+Q201+R201+S201+T201+U201+V201+W201+X201+Y201+Z201+AA201</f>
        <v>2244121</v>
      </c>
      <c r="E201" s="86">
        <v>0</v>
      </c>
      <c r="F201" s="86">
        <v>0</v>
      </c>
      <c r="G201" s="86">
        <v>0</v>
      </c>
      <c r="H201" s="86">
        <v>0</v>
      </c>
      <c r="I201" s="86">
        <v>0</v>
      </c>
      <c r="J201" s="86">
        <v>0</v>
      </c>
      <c r="K201" s="87">
        <v>0</v>
      </c>
      <c r="L201" s="86">
        <v>0</v>
      </c>
      <c r="M201" s="86">
        <v>2244121</v>
      </c>
      <c r="N201" s="86">
        <v>0</v>
      </c>
      <c r="O201" s="86">
        <v>0</v>
      </c>
      <c r="P201" s="86">
        <v>0</v>
      </c>
      <c r="Q201" s="86">
        <v>0</v>
      </c>
      <c r="R201" s="86">
        <v>0</v>
      </c>
      <c r="S201" s="86">
        <v>0</v>
      </c>
      <c r="T201" s="86">
        <v>0</v>
      </c>
      <c r="U201" s="86">
        <v>0</v>
      </c>
      <c r="V201" s="86">
        <v>0</v>
      </c>
      <c r="W201" s="86">
        <v>0</v>
      </c>
      <c r="X201" s="86">
        <v>0</v>
      </c>
      <c r="Y201" s="86">
        <v>0</v>
      </c>
      <c r="Z201" s="86">
        <v>0</v>
      </c>
      <c r="AA201" s="86">
        <v>0</v>
      </c>
      <c r="AB201" s="88">
        <v>2020</v>
      </c>
    </row>
    <row r="202" spans="1:28" s="1" customFormat="1" ht="35.25" customHeight="1">
      <c r="A202" s="1">
        <v>1</v>
      </c>
      <c r="B202" s="38">
        <f>SUBTOTAL(103,$A$11:A202)</f>
        <v>188</v>
      </c>
      <c r="C202" s="82" t="s">
        <v>483</v>
      </c>
      <c r="D202" s="83">
        <f>E202+F202+G202+H202+I202+J202+L202+M202+N202+O202+P202+Q202+R202+S202+T202+U202+V202+W202+X202+Y202+Z202+AA202</f>
        <v>649639</v>
      </c>
      <c r="E202" s="86">
        <v>0</v>
      </c>
      <c r="F202" s="86">
        <v>0</v>
      </c>
      <c r="G202" s="86">
        <v>0</v>
      </c>
      <c r="H202" s="86">
        <v>0</v>
      </c>
      <c r="I202" s="86">
        <v>649639</v>
      </c>
      <c r="J202" s="86">
        <v>0</v>
      </c>
      <c r="K202" s="87">
        <v>0</v>
      </c>
      <c r="L202" s="86">
        <v>0</v>
      </c>
      <c r="M202" s="86">
        <v>0</v>
      </c>
      <c r="N202" s="86">
        <v>0</v>
      </c>
      <c r="O202" s="86">
        <v>0</v>
      </c>
      <c r="P202" s="86">
        <v>0</v>
      </c>
      <c r="Q202" s="86">
        <v>0</v>
      </c>
      <c r="R202" s="86">
        <v>0</v>
      </c>
      <c r="S202" s="86">
        <v>0</v>
      </c>
      <c r="T202" s="86">
        <v>0</v>
      </c>
      <c r="U202" s="86">
        <v>0</v>
      </c>
      <c r="V202" s="86">
        <v>0</v>
      </c>
      <c r="W202" s="86">
        <v>0</v>
      </c>
      <c r="X202" s="86">
        <v>0</v>
      </c>
      <c r="Y202" s="86">
        <v>0</v>
      </c>
      <c r="Z202" s="86">
        <v>0</v>
      </c>
      <c r="AA202" s="86">
        <v>0</v>
      </c>
      <c r="AB202" s="88">
        <v>2020</v>
      </c>
    </row>
    <row r="203" spans="1:28" s="1" customFormat="1" ht="35.25" customHeight="1">
      <c r="A203" s="1">
        <v>1</v>
      </c>
      <c r="B203" s="38">
        <f>SUBTOTAL(103,$A$11:A203)</f>
        <v>189</v>
      </c>
      <c r="C203" s="82" t="s">
        <v>484</v>
      </c>
      <c r="D203" s="83">
        <f>E203+F203+G203+H203+I203+J203+L203+M203+N203+O203+P203+Q203+R203+S203+T203+U203+V203+W203+X203+Y203+Z203+AA203</f>
        <v>158850</v>
      </c>
      <c r="E203" s="86">
        <v>0</v>
      </c>
      <c r="F203" s="86">
        <v>158850</v>
      </c>
      <c r="G203" s="86">
        <v>0</v>
      </c>
      <c r="H203" s="86">
        <v>0</v>
      </c>
      <c r="I203" s="86">
        <v>0</v>
      </c>
      <c r="J203" s="86">
        <v>0</v>
      </c>
      <c r="K203" s="87">
        <v>0</v>
      </c>
      <c r="L203" s="86">
        <v>0</v>
      </c>
      <c r="M203" s="86">
        <v>0</v>
      </c>
      <c r="N203" s="86">
        <v>0</v>
      </c>
      <c r="O203" s="86">
        <v>0</v>
      </c>
      <c r="P203" s="86">
        <v>0</v>
      </c>
      <c r="Q203" s="86">
        <v>0</v>
      </c>
      <c r="R203" s="86">
        <v>0</v>
      </c>
      <c r="S203" s="86">
        <v>0</v>
      </c>
      <c r="T203" s="86">
        <v>0</v>
      </c>
      <c r="U203" s="86">
        <v>0</v>
      </c>
      <c r="V203" s="86">
        <v>0</v>
      </c>
      <c r="W203" s="86">
        <v>0</v>
      </c>
      <c r="X203" s="86">
        <v>0</v>
      </c>
      <c r="Y203" s="86">
        <v>0</v>
      </c>
      <c r="Z203" s="86">
        <v>0</v>
      </c>
      <c r="AA203" s="86">
        <v>0</v>
      </c>
      <c r="AB203" s="88">
        <v>2020</v>
      </c>
    </row>
    <row r="204" spans="1:28" s="1" customFormat="1" ht="35.25" customHeight="1">
      <c r="A204" s="1">
        <v>1</v>
      </c>
      <c r="B204" s="38">
        <f>SUBTOTAL(103,$A$11:A204)</f>
        <v>190</v>
      </c>
      <c r="C204" s="82" t="s">
        <v>696</v>
      </c>
      <c r="D204" s="83">
        <v>187000</v>
      </c>
      <c r="E204" s="86">
        <v>0</v>
      </c>
      <c r="F204" s="86">
        <v>0</v>
      </c>
      <c r="G204" s="86">
        <v>0</v>
      </c>
      <c r="H204" s="86">
        <v>0</v>
      </c>
      <c r="I204" s="86">
        <v>0</v>
      </c>
      <c r="J204" s="86">
        <v>0</v>
      </c>
      <c r="K204" s="87">
        <v>0</v>
      </c>
      <c r="L204" s="86">
        <v>0</v>
      </c>
      <c r="M204" s="86">
        <v>187000</v>
      </c>
      <c r="N204" s="86">
        <v>0</v>
      </c>
      <c r="O204" s="86">
        <v>0</v>
      </c>
      <c r="P204" s="86">
        <v>0</v>
      </c>
      <c r="Q204" s="86">
        <v>0</v>
      </c>
      <c r="R204" s="86">
        <v>0</v>
      </c>
      <c r="S204" s="86">
        <v>0</v>
      </c>
      <c r="T204" s="86">
        <v>0</v>
      </c>
      <c r="U204" s="86">
        <v>0</v>
      </c>
      <c r="V204" s="86">
        <v>0</v>
      </c>
      <c r="W204" s="86">
        <v>0</v>
      </c>
      <c r="X204" s="86">
        <v>0</v>
      </c>
      <c r="Y204" s="86">
        <v>0</v>
      </c>
      <c r="Z204" s="86">
        <v>0</v>
      </c>
      <c r="AA204" s="86">
        <v>0</v>
      </c>
      <c r="AB204" s="88">
        <v>2020</v>
      </c>
    </row>
    <row r="205" spans="1:28" s="1" customFormat="1" ht="35.25" customHeight="1">
      <c r="A205" s="1">
        <v>1</v>
      </c>
      <c r="B205" s="38">
        <f>SUBTOTAL(103,$A$11:A205)</f>
        <v>191</v>
      </c>
      <c r="C205" s="82" t="s">
        <v>697</v>
      </c>
      <c r="D205" s="83">
        <v>405002</v>
      </c>
      <c r="E205" s="86">
        <v>0</v>
      </c>
      <c r="F205" s="86">
        <v>0</v>
      </c>
      <c r="G205" s="86">
        <v>0</v>
      </c>
      <c r="H205" s="86">
        <v>0</v>
      </c>
      <c r="I205" s="86">
        <v>0</v>
      </c>
      <c r="J205" s="86">
        <v>0</v>
      </c>
      <c r="K205" s="87">
        <v>0</v>
      </c>
      <c r="L205" s="86">
        <v>0</v>
      </c>
      <c r="M205" s="86">
        <v>0</v>
      </c>
      <c r="N205" s="86">
        <v>405002</v>
      </c>
      <c r="O205" s="86">
        <v>0</v>
      </c>
      <c r="P205" s="86">
        <v>0</v>
      </c>
      <c r="Q205" s="86">
        <v>0</v>
      </c>
      <c r="R205" s="86">
        <v>0</v>
      </c>
      <c r="S205" s="86">
        <v>0</v>
      </c>
      <c r="T205" s="86">
        <v>0</v>
      </c>
      <c r="U205" s="86">
        <v>0</v>
      </c>
      <c r="V205" s="86">
        <v>0</v>
      </c>
      <c r="W205" s="86">
        <v>0</v>
      </c>
      <c r="X205" s="86">
        <v>0</v>
      </c>
      <c r="Y205" s="86">
        <v>0</v>
      </c>
      <c r="Z205" s="86">
        <v>0</v>
      </c>
      <c r="AA205" s="86">
        <v>0</v>
      </c>
      <c r="AB205" s="88">
        <v>2020</v>
      </c>
    </row>
    <row r="206" spans="1:28" s="1" customFormat="1" ht="35.25" customHeight="1">
      <c r="A206" s="1">
        <v>1</v>
      </c>
      <c r="B206" s="38">
        <f>SUBTOTAL(103,$A$11:A206)</f>
        <v>192</v>
      </c>
      <c r="C206" s="82" t="s">
        <v>698</v>
      </c>
      <c r="D206" s="83">
        <v>677014</v>
      </c>
      <c r="E206" s="86">
        <v>0</v>
      </c>
      <c r="F206" s="86">
        <v>0</v>
      </c>
      <c r="G206" s="86">
        <v>408760</v>
      </c>
      <c r="H206" s="86">
        <v>0</v>
      </c>
      <c r="I206" s="86">
        <v>0</v>
      </c>
      <c r="J206" s="86">
        <v>0</v>
      </c>
      <c r="K206" s="87">
        <v>0</v>
      </c>
      <c r="L206" s="86">
        <v>0</v>
      </c>
      <c r="M206" s="86">
        <v>0</v>
      </c>
      <c r="N206" s="86">
        <v>0</v>
      </c>
      <c r="O206" s="86">
        <v>268254</v>
      </c>
      <c r="P206" s="86">
        <v>0</v>
      </c>
      <c r="Q206" s="86">
        <v>0</v>
      </c>
      <c r="R206" s="86">
        <v>0</v>
      </c>
      <c r="S206" s="86">
        <v>0</v>
      </c>
      <c r="T206" s="86">
        <v>0</v>
      </c>
      <c r="U206" s="86">
        <v>0</v>
      </c>
      <c r="V206" s="86">
        <v>0</v>
      </c>
      <c r="W206" s="86">
        <v>0</v>
      </c>
      <c r="X206" s="86">
        <v>0</v>
      </c>
      <c r="Y206" s="86">
        <v>0</v>
      </c>
      <c r="Z206" s="86">
        <v>0</v>
      </c>
      <c r="AA206" s="86">
        <v>0</v>
      </c>
      <c r="AB206" s="88">
        <v>2020</v>
      </c>
    </row>
    <row r="207" spans="1:28" s="1" customFormat="1" ht="35.25" customHeight="1">
      <c r="A207" s="1">
        <v>1</v>
      </c>
      <c r="B207" s="38">
        <f>SUBTOTAL(103,$A$11:A207)</f>
        <v>193</v>
      </c>
      <c r="C207" s="82" t="s">
        <v>699</v>
      </c>
      <c r="D207" s="83">
        <v>121407</v>
      </c>
      <c r="E207" s="86">
        <v>0</v>
      </c>
      <c r="F207" s="86">
        <v>0</v>
      </c>
      <c r="G207" s="86">
        <v>0</v>
      </c>
      <c r="H207" s="86">
        <v>0</v>
      </c>
      <c r="I207" s="86">
        <v>0</v>
      </c>
      <c r="J207" s="86">
        <v>0</v>
      </c>
      <c r="K207" s="87">
        <v>0</v>
      </c>
      <c r="L207" s="86">
        <v>0</v>
      </c>
      <c r="M207" s="86">
        <v>0</v>
      </c>
      <c r="N207" s="86">
        <v>0</v>
      </c>
      <c r="O207" s="86">
        <v>121407</v>
      </c>
      <c r="P207" s="86">
        <v>0</v>
      </c>
      <c r="Q207" s="86">
        <v>0</v>
      </c>
      <c r="R207" s="86">
        <v>0</v>
      </c>
      <c r="S207" s="86">
        <v>0</v>
      </c>
      <c r="T207" s="86">
        <v>0</v>
      </c>
      <c r="U207" s="86">
        <v>0</v>
      </c>
      <c r="V207" s="86">
        <v>0</v>
      </c>
      <c r="W207" s="86">
        <v>0</v>
      </c>
      <c r="X207" s="86">
        <v>0</v>
      </c>
      <c r="Y207" s="86">
        <v>0</v>
      </c>
      <c r="Z207" s="86">
        <v>0</v>
      </c>
      <c r="AA207" s="86">
        <v>0</v>
      </c>
      <c r="AB207" s="88">
        <v>2020</v>
      </c>
    </row>
    <row r="208" spans="1:28" s="1" customFormat="1" ht="35.25" customHeight="1">
      <c r="A208" s="1">
        <v>1</v>
      </c>
      <c r="B208" s="38">
        <f>SUBTOTAL(103,$A$11:A208)</f>
        <v>194</v>
      </c>
      <c r="C208" s="82" t="s">
        <v>700</v>
      </c>
      <c r="D208" s="83">
        <v>320000</v>
      </c>
      <c r="E208" s="86">
        <v>0</v>
      </c>
      <c r="F208" s="86">
        <v>0</v>
      </c>
      <c r="G208" s="86">
        <v>0</v>
      </c>
      <c r="H208" s="86">
        <v>0</v>
      </c>
      <c r="I208" s="86">
        <v>0</v>
      </c>
      <c r="J208" s="86">
        <v>0</v>
      </c>
      <c r="K208" s="87">
        <v>0</v>
      </c>
      <c r="L208" s="86">
        <v>0</v>
      </c>
      <c r="M208" s="86">
        <v>0</v>
      </c>
      <c r="N208" s="86">
        <v>0</v>
      </c>
      <c r="O208" s="86">
        <v>0</v>
      </c>
      <c r="P208" s="86">
        <v>320000</v>
      </c>
      <c r="Q208" s="86">
        <v>0</v>
      </c>
      <c r="R208" s="86">
        <v>0</v>
      </c>
      <c r="S208" s="86">
        <v>0</v>
      </c>
      <c r="T208" s="86">
        <v>0</v>
      </c>
      <c r="U208" s="86">
        <v>0</v>
      </c>
      <c r="V208" s="86">
        <v>0</v>
      </c>
      <c r="W208" s="86">
        <v>0</v>
      </c>
      <c r="X208" s="86">
        <v>0</v>
      </c>
      <c r="Y208" s="86">
        <v>0</v>
      </c>
      <c r="Z208" s="86">
        <v>0</v>
      </c>
      <c r="AA208" s="86">
        <v>0</v>
      </c>
      <c r="AB208" s="88">
        <v>2020</v>
      </c>
    </row>
    <row r="209" spans="1:28" s="1" customFormat="1" ht="35.25" customHeight="1">
      <c r="A209" s="1">
        <v>1</v>
      </c>
      <c r="B209" s="38">
        <f>SUBTOTAL(103,$A$11:A209)</f>
        <v>195</v>
      </c>
      <c r="C209" s="82" t="s">
        <v>701</v>
      </c>
      <c r="D209" s="83">
        <f t="shared" ref="D209:D218" si="9">E209+F209+G209+H209+I209+J209+L209+M209+N209+O209+P209+Q209+R209+S209+T209+U209+V209+W209+X209+Y209+Z209+AA209</f>
        <v>672000</v>
      </c>
      <c r="E209" s="86">
        <v>0</v>
      </c>
      <c r="F209" s="86">
        <v>0</v>
      </c>
      <c r="G209" s="86">
        <v>0</v>
      </c>
      <c r="H209" s="86">
        <v>0</v>
      </c>
      <c r="I209" s="86">
        <v>0</v>
      </c>
      <c r="J209" s="86">
        <v>0</v>
      </c>
      <c r="K209" s="87">
        <v>0</v>
      </c>
      <c r="L209" s="86">
        <v>0</v>
      </c>
      <c r="M209" s="86">
        <v>672000</v>
      </c>
      <c r="N209" s="86">
        <v>0</v>
      </c>
      <c r="O209" s="86">
        <v>0</v>
      </c>
      <c r="P209" s="86">
        <v>0</v>
      </c>
      <c r="Q209" s="86">
        <v>0</v>
      </c>
      <c r="R209" s="86">
        <v>0</v>
      </c>
      <c r="S209" s="86">
        <v>0</v>
      </c>
      <c r="T209" s="86">
        <v>0</v>
      </c>
      <c r="U209" s="86">
        <v>0</v>
      </c>
      <c r="V209" s="86">
        <v>0</v>
      </c>
      <c r="W209" s="86">
        <v>0</v>
      </c>
      <c r="X209" s="86">
        <v>0</v>
      </c>
      <c r="Y209" s="86">
        <v>0</v>
      </c>
      <c r="Z209" s="86">
        <v>0</v>
      </c>
      <c r="AA209" s="86">
        <v>0</v>
      </c>
      <c r="AB209" s="88">
        <v>2020</v>
      </c>
    </row>
    <row r="210" spans="1:28" s="1" customFormat="1" ht="35.25" customHeight="1">
      <c r="A210" s="1">
        <v>1</v>
      </c>
      <c r="B210" s="38">
        <f>SUBTOTAL(103,$A$11:A210)</f>
        <v>196</v>
      </c>
      <c r="C210" s="82" t="s">
        <v>702</v>
      </c>
      <c r="D210" s="83">
        <f t="shared" si="9"/>
        <v>118000</v>
      </c>
      <c r="E210" s="86">
        <v>0</v>
      </c>
      <c r="F210" s="86">
        <v>0</v>
      </c>
      <c r="G210" s="86">
        <v>0</v>
      </c>
      <c r="H210" s="86">
        <v>0</v>
      </c>
      <c r="I210" s="86">
        <v>118000</v>
      </c>
      <c r="J210" s="86">
        <v>0</v>
      </c>
      <c r="K210" s="87">
        <v>0</v>
      </c>
      <c r="L210" s="86">
        <v>0</v>
      </c>
      <c r="M210" s="86">
        <v>0</v>
      </c>
      <c r="N210" s="86">
        <v>0</v>
      </c>
      <c r="O210" s="86">
        <v>0</v>
      </c>
      <c r="P210" s="86">
        <v>0</v>
      </c>
      <c r="Q210" s="86">
        <v>0</v>
      </c>
      <c r="R210" s="86">
        <v>0</v>
      </c>
      <c r="S210" s="86">
        <v>0</v>
      </c>
      <c r="T210" s="86">
        <v>0</v>
      </c>
      <c r="U210" s="86">
        <v>0</v>
      </c>
      <c r="V210" s="86">
        <v>0</v>
      </c>
      <c r="W210" s="86">
        <v>0</v>
      </c>
      <c r="X210" s="86">
        <v>0</v>
      </c>
      <c r="Y210" s="86">
        <v>0</v>
      </c>
      <c r="Z210" s="86">
        <v>0</v>
      </c>
      <c r="AA210" s="86">
        <v>0</v>
      </c>
      <c r="AB210" s="88">
        <v>2020</v>
      </c>
    </row>
    <row r="211" spans="1:28" s="1" customFormat="1" ht="35.25" customHeight="1">
      <c r="A211" s="1">
        <v>1</v>
      </c>
      <c r="B211" s="38">
        <f>SUBTOTAL(103,$A$11:A211)</f>
        <v>197</v>
      </c>
      <c r="C211" s="82" t="s">
        <v>703</v>
      </c>
      <c r="D211" s="83">
        <f t="shared" si="9"/>
        <v>717639.7</v>
      </c>
      <c r="E211" s="86">
        <v>0</v>
      </c>
      <c r="F211" s="86">
        <v>0</v>
      </c>
      <c r="G211" s="86">
        <v>0</v>
      </c>
      <c r="H211" s="86">
        <v>0</v>
      </c>
      <c r="I211" s="86">
        <v>0</v>
      </c>
      <c r="J211" s="86">
        <v>0</v>
      </c>
      <c r="K211" s="87">
        <v>0</v>
      </c>
      <c r="L211" s="86">
        <v>0</v>
      </c>
      <c r="M211" s="86">
        <v>717639.7</v>
      </c>
      <c r="N211" s="86">
        <v>0</v>
      </c>
      <c r="O211" s="86">
        <v>0</v>
      </c>
      <c r="P211" s="86">
        <v>0</v>
      </c>
      <c r="Q211" s="86">
        <v>0</v>
      </c>
      <c r="R211" s="86">
        <v>0</v>
      </c>
      <c r="S211" s="86">
        <v>0</v>
      </c>
      <c r="T211" s="86">
        <v>0</v>
      </c>
      <c r="U211" s="86">
        <v>0</v>
      </c>
      <c r="V211" s="86">
        <v>0</v>
      </c>
      <c r="W211" s="86">
        <v>0</v>
      </c>
      <c r="X211" s="86">
        <v>0</v>
      </c>
      <c r="Y211" s="86">
        <v>0</v>
      </c>
      <c r="Z211" s="86">
        <v>0</v>
      </c>
      <c r="AA211" s="86">
        <v>0</v>
      </c>
      <c r="AB211" s="88">
        <v>2020</v>
      </c>
    </row>
    <row r="212" spans="1:28" s="1" customFormat="1" ht="35.25" customHeight="1">
      <c r="A212" s="1">
        <v>1</v>
      </c>
      <c r="B212" s="38">
        <f>SUBTOTAL(103,$A$11:A212)</f>
        <v>198</v>
      </c>
      <c r="C212" s="82" t="s">
        <v>704</v>
      </c>
      <c r="D212" s="83">
        <f t="shared" si="9"/>
        <v>1562529.6</v>
      </c>
      <c r="E212" s="86">
        <v>0</v>
      </c>
      <c r="F212" s="86">
        <v>0</v>
      </c>
      <c r="G212" s="86">
        <v>642237.6</v>
      </c>
      <c r="H212" s="86">
        <v>0</v>
      </c>
      <c r="I212" s="86">
        <v>0</v>
      </c>
      <c r="J212" s="86">
        <v>0</v>
      </c>
      <c r="K212" s="87">
        <v>0</v>
      </c>
      <c r="L212" s="86">
        <v>0</v>
      </c>
      <c r="M212" s="86">
        <v>920292</v>
      </c>
      <c r="N212" s="86">
        <v>0</v>
      </c>
      <c r="O212" s="86">
        <v>0</v>
      </c>
      <c r="P212" s="86">
        <v>0</v>
      </c>
      <c r="Q212" s="86">
        <v>0</v>
      </c>
      <c r="R212" s="86">
        <v>0</v>
      </c>
      <c r="S212" s="86">
        <v>0</v>
      </c>
      <c r="T212" s="86">
        <v>0</v>
      </c>
      <c r="U212" s="86">
        <v>0</v>
      </c>
      <c r="V212" s="86">
        <v>0</v>
      </c>
      <c r="W212" s="86">
        <v>0</v>
      </c>
      <c r="X212" s="86">
        <v>0</v>
      </c>
      <c r="Y212" s="86">
        <v>0</v>
      </c>
      <c r="Z212" s="86">
        <v>0</v>
      </c>
      <c r="AA212" s="86">
        <v>0</v>
      </c>
      <c r="AB212" s="88">
        <v>2020</v>
      </c>
    </row>
    <row r="213" spans="1:28" s="1" customFormat="1" ht="35.25" customHeight="1">
      <c r="A213" s="1">
        <v>1</v>
      </c>
      <c r="B213" s="38">
        <f>SUBTOTAL(103,$A$11:A213)</f>
        <v>199</v>
      </c>
      <c r="C213" s="82" t="s">
        <v>705</v>
      </c>
      <c r="D213" s="83">
        <f t="shared" si="9"/>
        <v>1680000</v>
      </c>
      <c r="E213" s="86">
        <v>0</v>
      </c>
      <c r="F213" s="86">
        <v>0</v>
      </c>
      <c r="G213" s="86">
        <v>1680000</v>
      </c>
      <c r="H213" s="86">
        <v>0</v>
      </c>
      <c r="I213" s="86">
        <v>0</v>
      </c>
      <c r="J213" s="86">
        <v>0</v>
      </c>
      <c r="K213" s="87">
        <v>0</v>
      </c>
      <c r="L213" s="86">
        <v>0</v>
      </c>
      <c r="M213" s="86">
        <v>0</v>
      </c>
      <c r="N213" s="86">
        <v>0</v>
      </c>
      <c r="O213" s="86">
        <v>0</v>
      </c>
      <c r="P213" s="86">
        <v>0</v>
      </c>
      <c r="Q213" s="86">
        <v>0</v>
      </c>
      <c r="R213" s="86">
        <v>0</v>
      </c>
      <c r="S213" s="86">
        <v>0</v>
      </c>
      <c r="T213" s="86">
        <v>0</v>
      </c>
      <c r="U213" s="86">
        <v>0</v>
      </c>
      <c r="V213" s="86">
        <v>0</v>
      </c>
      <c r="W213" s="86">
        <v>0</v>
      </c>
      <c r="X213" s="86">
        <v>0</v>
      </c>
      <c r="Y213" s="86">
        <v>0</v>
      </c>
      <c r="Z213" s="86">
        <v>0</v>
      </c>
      <c r="AA213" s="86">
        <v>0</v>
      </c>
      <c r="AB213" s="88">
        <v>2020</v>
      </c>
    </row>
    <row r="214" spans="1:28" s="1" customFormat="1" ht="35.25" customHeight="1">
      <c r="A214" s="1">
        <v>1</v>
      </c>
      <c r="B214" s="38">
        <f>SUBTOTAL(103,$A$11:A214)</f>
        <v>200</v>
      </c>
      <c r="C214" s="82" t="s">
        <v>706</v>
      </c>
      <c r="D214" s="83">
        <f t="shared" si="9"/>
        <v>1112945</v>
      </c>
      <c r="E214" s="86">
        <v>0</v>
      </c>
      <c r="F214" s="86">
        <v>0</v>
      </c>
      <c r="G214" s="86">
        <v>0</v>
      </c>
      <c r="H214" s="86">
        <v>180729</v>
      </c>
      <c r="I214" s="86">
        <v>0</v>
      </c>
      <c r="J214" s="86">
        <v>0</v>
      </c>
      <c r="K214" s="87">
        <v>0</v>
      </c>
      <c r="L214" s="86">
        <v>0</v>
      </c>
      <c r="M214" s="86">
        <v>932216</v>
      </c>
      <c r="N214" s="86">
        <v>0</v>
      </c>
      <c r="O214" s="86">
        <v>0</v>
      </c>
      <c r="P214" s="86">
        <v>0</v>
      </c>
      <c r="Q214" s="86">
        <v>0</v>
      </c>
      <c r="R214" s="86">
        <v>0</v>
      </c>
      <c r="S214" s="86">
        <v>0</v>
      </c>
      <c r="T214" s="86">
        <v>0</v>
      </c>
      <c r="U214" s="86">
        <v>0</v>
      </c>
      <c r="V214" s="86">
        <v>0</v>
      </c>
      <c r="W214" s="86">
        <v>0</v>
      </c>
      <c r="X214" s="86">
        <v>0</v>
      </c>
      <c r="Y214" s="86">
        <v>0</v>
      </c>
      <c r="Z214" s="86">
        <v>0</v>
      </c>
      <c r="AA214" s="86">
        <v>0</v>
      </c>
      <c r="AB214" s="88">
        <v>2020</v>
      </c>
    </row>
    <row r="215" spans="1:28" s="1" customFormat="1" ht="35.25" customHeight="1">
      <c r="A215" s="1">
        <v>1</v>
      </c>
      <c r="B215" s="38">
        <f>SUBTOTAL(103,$A$11:A215)</f>
        <v>201</v>
      </c>
      <c r="C215" s="82" t="s">
        <v>707</v>
      </c>
      <c r="D215" s="83">
        <f t="shared" si="9"/>
        <v>61839.25</v>
      </c>
      <c r="E215" s="86">
        <v>0</v>
      </c>
      <c r="F215" s="86">
        <v>0</v>
      </c>
      <c r="G215" s="86">
        <v>0</v>
      </c>
      <c r="H215" s="86">
        <v>0</v>
      </c>
      <c r="I215" s="86">
        <v>0</v>
      </c>
      <c r="J215" s="86">
        <v>0</v>
      </c>
      <c r="K215" s="87">
        <v>0</v>
      </c>
      <c r="L215" s="86">
        <v>0</v>
      </c>
      <c r="M215" s="86">
        <v>0</v>
      </c>
      <c r="N215" s="86">
        <v>0</v>
      </c>
      <c r="O215" s="86">
        <v>0</v>
      </c>
      <c r="P215" s="86">
        <v>61839.25</v>
      </c>
      <c r="Q215" s="86">
        <v>0</v>
      </c>
      <c r="R215" s="86">
        <v>0</v>
      </c>
      <c r="S215" s="86">
        <v>0</v>
      </c>
      <c r="T215" s="86">
        <v>0</v>
      </c>
      <c r="U215" s="86">
        <v>0</v>
      </c>
      <c r="V215" s="86">
        <v>0</v>
      </c>
      <c r="W215" s="86">
        <v>0</v>
      </c>
      <c r="X215" s="86">
        <v>0</v>
      </c>
      <c r="Y215" s="86">
        <v>0</v>
      </c>
      <c r="Z215" s="86">
        <v>0</v>
      </c>
      <c r="AA215" s="86">
        <v>0</v>
      </c>
      <c r="AB215" s="88">
        <v>2020</v>
      </c>
    </row>
    <row r="216" spans="1:28" s="1" customFormat="1" ht="35.25" customHeight="1">
      <c r="A216" s="1">
        <v>1</v>
      </c>
      <c r="B216" s="38">
        <f>SUBTOTAL(103,$A$11:A216)</f>
        <v>202</v>
      </c>
      <c r="C216" s="82" t="s">
        <v>708</v>
      </c>
      <c r="D216" s="83">
        <f t="shared" si="9"/>
        <v>1241544</v>
      </c>
      <c r="E216" s="86">
        <v>0</v>
      </c>
      <c r="F216" s="86">
        <v>0</v>
      </c>
      <c r="G216" s="86">
        <v>0</v>
      </c>
      <c r="H216" s="86">
        <v>0</v>
      </c>
      <c r="I216" s="86">
        <v>0</v>
      </c>
      <c r="J216" s="86">
        <v>0</v>
      </c>
      <c r="K216" s="87">
        <v>0</v>
      </c>
      <c r="L216" s="86">
        <v>0</v>
      </c>
      <c r="M216" s="86">
        <v>0</v>
      </c>
      <c r="N216" s="86">
        <v>0</v>
      </c>
      <c r="O216" s="86">
        <v>1241544</v>
      </c>
      <c r="P216" s="86">
        <v>0</v>
      </c>
      <c r="Q216" s="86">
        <v>0</v>
      </c>
      <c r="R216" s="86">
        <v>0</v>
      </c>
      <c r="S216" s="86">
        <v>0</v>
      </c>
      <c r="T216" s="86">
        <v>0</v>
      </c>
      <c r="U216" s="86">
        <v>0</v>
      </c>
      <c r="V216" s="86">
        <v>0</v>
      </c>
      <c r="W216" s="86">
        <v>0</v>
      </c>
      <c r="X216" s="86">
        <v>0</v>
      </c>
      <c r="Y216" s="86">
        <v>0</v>
      </c>
      <c r="Z216" s="86">
        <v>0</v>
      </c>
      <c r="AA216" s="86">
        <v>0</v>
      </c>
      <c r="AB216" s="88">
        <v>2020</v>
      </c>
    </row>
    <row r="217" spans="1:28" s="1" customFormat="1" ht="35.25" customHeight="1">
      <c r="A217" s="1">
        <v>1</v>
      </c>
      <c r="B217" s="38">
        <f>SUBTOTAL(103,$A$11:A217)</f>
        <v>203</v>
      </c>
      <c r="C217" s="82" t="s">
        <v>709</v>
      </c>
      <c r="D217" s="83">
        <f t="shared" si="9"/>
        <v>128126.8</v>
      </c>
      <c r="E217" s="86">
        <v>0</v>
      </c>
      <c r="F217" s="86">
        <v>0</v>
      </c>
      <c r="G217" s="86">
        <v>0</v>
      </c>
      <c r="H217" s="86">
        <v>0</v>
      </c>
      <c r="I217" s="86">
        <v>0</v>
      </c>
      <c r="J217" s="86">
        <v>0</v>
      </c>
      <c r="K217" s="87">
        <v>0</v>
      </c>
      <c r="L217" s="86">
        <v>0</v>
      </c>
      <c r="M217" s="86">
        <v>0</v>
      </c>
      <c r="N217" s="86">
        <v>0</v>
      </c>
      <c r="O217" s="86">
        <v>128126.8</v>
      </c>
      <c r="P217" s="86">
        <v>0</v>
      </c>
      <c r="Q217" s="86">
        <v>0</v>
      </c>
      <c r="R217" s="86">
        <v>0</v>
      </c>
      <c r="S217" s="86">
        <v>0</v>
      </c>
      <c r="T217" s="86">
        <v>0</v>
      </c>
      <c r="U217" s="86">
        <v>0</v>
      </c>
      <c r="V217" s="86">
        <v>0</v>
      </c>
      <c r="W217" s="86">
        <v>0</v>
      </c>
      <c r="X217" s="86">
        <v>0</v>
      </c>
      <c r="Y217" s="86">
        <v>0</v>
      </c>
      <c r="Z217" s="86">
        <v>0</v>
      </c>
      <c r="AA217" s="86">
        <v>0</v>
      </c>
      <c r="AB217" s="88">
        <v>2020</v>
      </c>
    </row>
    <row r="218" spans="1:28" s="1" customFormat="1" ht="35.25" customHeight="1">
      <c r="A218" s="1">
        <v>1</v>
      </c>
      <c r="B218" s="38">
        <f>SUBTOTAL(103,$A$11:A218)</f>
        <v>204</v>
      </c>
      <c r="C218" s="82" t="s">
        <v>710</v>
      </c>
      <c r="D218" s="83">
        <f t="shared" si="9"/>
        <v>566760</v>
      </c>
      <c r="E218" s="86">
        <v>0</v>
      </c>
      <c r="F218" s="86">
        <v>0</v>
      </c>
      <c r="G218" s="86">
        <v>566760</v>
      </c>
      <c r="H218" s="86">
        <v>0</v>
      </c>
      <c r="I218" s="86">
        <v>0</v>
      </c>
      <c r="J218" s="86">
        <v>0</v>
      </c>
      <c r="K218" s="87">
        <v>0</v>
      </c>
      <c r="L218" s="86">
        <v>0</v>
      </c>
      <c r="M218" s="86">
        <v>0</v>
      </c>
      <c r="N218" s="86">
        <v>0</v>
      </c>
      <c r="O218" s="86">
        <v>0</v>
      </c>
      <c r="P218" s="86">
        <v>0</v>
      </c>
      <c r="Q218" s="86">
        <v>0</v>
      </c>
      <c r="R218" s="86">
        <v>0</v>
      </c>
      <c r="S218" s="86">
        <v>0</v>
      </c>
      <c r="T218" s="86">
        <v>0</v>
      </c>
      <c r="U218" s="86">
        <v>0</v>
      </c>
      <c r="V218" s="86">
        <v>0</v>
      </c>
      <c r="W218" s="86">
        <v>0</v>
      </c>
      <c r="X218" s="86">
        <v>0</v>
      </c>
      <c r="Y218" s="86">
        <v>0</v>
      </c>
      <c r="Z218" s="86">
        <v>0</v>
      </c>
      <c r="AA218" s="86">
        <v>0</v>
      </c>
      <c r="AB218" s="88">
        <v>2020</v>
      </c>
    </row>
    <row r="219" spans="1:28" s="1" customFormat="1" ht="35.25" customHeight="1">
      <c r="A219" s="1">
        <v>1</v>
      </c>
      <c r="B219" s="38">
        <f>SUBTOTAL(103,$A$11:A219)</f>
        <v>205</v>
      </c>
      <c r="C219" s="82" t="s">
        <v>485</v>
      </c>
      <c r="D219" s="83">
        <f>E219+F219+G219+H219+I219+J219+L219+M219+N219+O219+P219+Q219+R219+S219+T219+U219+V219+W219+X219+Y219+Z219+AA219</f>
        <v>391550</v>
      </c>
      <c r="E219" s="86">
        <v>0</v>
      </c>
      <c r="F219" s="86">
        <v>0</v>
      </c>
      <c r="G219" s="86">
        <v>0</v>
      </c>
      <c r="H219" s="86">
        <v>0</v>
      </c>
      <c r="I219" s="86">
        <v>0</v>
      </c>
      <c r="J219" s="86">
        <v>0</v>
      </c>
      <c r="K219" s="87">
        <v>0</v>
      </c>
      <c r="L219" s="86">
        <v>0</v>
      </c>
      <c r="M219" s="86">
        <v>0</v>
      </c>
      <c r="N219" s="86">
        <v>0</v>
      </c>
      <c r="O219" s="86">
        <v>391550</v>
      </c>
      <c r="P219" s="86">
        <v>0</v>
      </c>
      <c r="Q219" s="86">
        <v>0</v>
      </c>
      <c r="R219" s="86">
        <v>0</v>
      </c>
      <c r="S219" s="86">
        <v>0</v>
      </c>
      <c r="T219" s="86">
        <v>0</v>
      </c>
      <c r="U219" s="86">
        <v>0</v>
      </c>
      <c r="V219" s="86">
        <v>0</v>
      </c>
      <c r="W219" s="86">
        <v>0</v>
      </c>
      <c r="X219" s="86">
        <v>0</v>
      </c>
      <c r="Y219" s="86">
        <v>0</v>
      </c>
      <c r="Z219" s="86">
        <v>0</v>
      </c>
      <c r="AA219" s="86">
        <v>0</v>
      </c>
      <c r="AB219" s="88">
        <v>2020</v>
      </c>
    </row>
    <row r="220" spans="1:28" s="1" customFormat="1" ht="35.25" customHeight="1">
      <c r="B220" s="92" t="s">
        <v>91</v>
      </c>
      <c r="C220" s="82"/>
      <c r="D220" s="83">
        <f t="shared" ref="D220:AA220" si="10">SUM(D221:D325)</f>
        <v>79198288.749999985</v>
      </c>
      <c r="E220" s="83">
        <f t="shared" si="10"/>
        <v>1050811.72</v>
      </c>
      <c r="F220" s="83">
        <f t="shared" si="10"/>
        <v>656839</v>
      </c>
      <c r="G220" s="83">
        <f t="shared" si="10"/>
        <v>5097580.8600000003</v>
      </c>
      <c r="H220" s="83">
        <f t="shared" si="10"/>
        <v>748779</v>
      </c>
      <c r="I220" s="83">
        <f t="shared" si="10"/>
        <v>786391.04000000004</v>
      </c>
      <c r="J220" s="83">
        <f t="shared" si="10"/>
        <v>0</v>
      </c>
      <c r="K220" s="84">
        <f t="shared" si="10"/>
        <v>11</v>
      </c>
      <c r="L220" s="83">
        <f t="shared" si="10"/>
        <v>21962174</v>
      </c>
      <c r="M220" s="83">
        <f t="shared" si="10"/>
        <v>24541610.620000001</v>
      </c>
      <c r="N220" s="83">
        <f t="shared" si="10"/>
        <v>0</v>
      </c>
      <c r="O220" s="83">
        <f t="shared" si="10"/>
        <v>23222941.010000005</v>
      </c>
      <c r="P220" s="83">
        <f t="shared" si="10"/>
        <v>1131161.5</v>
      </c>
      <c r="Q220" s="83">
        <f t="shared" si="10"/>
        <v>0</v>
      </c>
      <c r="R220" s="83">
        <f t="shared" si="10"/>
        <v>0</v>
      </c>
      <c r="S220" s="83">
        <f t="shared" si="10"/>
        <v>0</v>
      </c>
      <c r="T220" s="83">
        <f t="shared" si="10"/>
        <v>0</v>
      </c>
      <c r="U220" s="83">
        <f t="shared" si="10"/>
        <v>0</v>
      </c>
      <c r="V220" s="83">
        <f t="shared" si="10"/>
        <v>0</v>
      </c>
      <c r="W220" s="83">
        <f t="shared" si="10"/>
        <v>0</v>
      </c>
      <c r="X220" s="83">
        <f t="shared" si="10"/>
        <v>0</v>
      </c>
      <c r="Y220" s="83">
        <f t="shared" si="10"/>
        <v>0</v>
      </c>
      <c r="Z220" s="83">
        <f t="shared" si="10"/>
        <v>0</v>
      </c>
      <c r="AA220" s="83">
        <f t="shared" si="10"/>
        <v>0</v>
      </c>
      <c r="AB220" s="85" t="s">
        <v>131</v>
      </c>
    </row>
    <row r="221" spans="1:28" s="1" customFormat="1" ht="35.25" customHeight="1">
      <c r="A221" s="1">
        <v>1</v>
      </c>
      <c r="B221" s="38">
        <f>SUBTOTAL(103,$A$11:A221)</f>
        <v>206</v>
      </c>
      <c r="C221" s="82" t="s">
        <v>486</v>
      </c>
      <c r="D221" s="83">
        <f t="shared" ref="D221:D284" si="11">E221+F221+G221+H221+I221+J221+L221+M221+N221+O221+P221+Q221+R221+S221+T221+U221+V221+W221+X221+Y221+Z221+AA221</f>
        <v>505117.35</v>
      </c>
      <c r="E221" s="86">
        <v>0</v>
      </c>
      <c r="F221" s="86">
        <v>0</v>
      </c>
      <c r="G221" s="86">
        <v>0</v>
      </c>
      <c r="H221" s="86">
        <v>0</v>
      </c>
      <c r="I221" s="86">
        <v>0</v>
      </c>
      <c r="J221" s="86">
        <v>0</v>
      </c>
      <c r="K221" s="87">
        <v>0</v>
      </c>
      <c r="L221" s="86">
        <v>0</v>
      </c>
      <c r="M221" s="86">
        <f>157000+348117.35</f>
        <v>505117.35</v>
      </c>
      <c r="N221" s="86">
        <v>0</v>
      </c>
      <c r="O221" s="86">
        <v>0</v>
      </c>
      <c r="P221" s="86">
        <v>0</v>
      </c>
      <c r="Q221" s="86">
        <v>0</v>
      </c>
      <c r="R221" s="86">
        <v>0</v>
      </c>
      <c r="S221" s="86">
        <v>0</v>
      </c>
      <c r="T221" s="86">
        <v>0</v>
      </c>
      <c r="U221" s="86">
        <v>0</v>
      </c>
      <c r="V221" s="86">
        <v>0</v>
      </c>
      <c r="W221" s="86">
        <v>0</v>
      </c>
      <c r="X221" s="86">
        <v>0</v>
      </c>
      <c r="Y221" s="86">
        <v>0</v>
      </c>
      <c r="Z221" s="86">
        <v>0</v>
      </c>
      <c r="AA221" s="86">
        <v>0</v>
      </c>
      <c r="AB221" s="88">
        <v>2020</v>
      </c>
    </row>
    <row r="222" spans="1:28" s="1" customFormat="1" ht="35.25" customHeight="1">
      <c r="A222" s="1">
        <v>1</v>
      </c>
      <c r="B222" s="38">
        <f>SUBTOTAL(103,$A$11:A222)</f>
        <v>207</v>
      </c>
      <c r="C222" s="82" t="s">
        <v>487</v>
      </c>
      <c r="D222" s="83">
        <f t="shared" si="11"/>
        <v>1832821</v>
      </c>
      <c r="E222" s="86">
        <v>0</v>
      </c>
      <c r="F222" s="86">
        <v>0</v>
      </c>
      <c r="G222" s="86">
        <v>0</v>
      </c>
      <c r="H222" s="86">
        <v>0</v>
      </c>
      <c r="I222" s="86">
        <v>0</v>
      </c>
      <c r="J222" s="86">
        <v>0</v>
      </c>
      <c r="K222" s="87">
        <v>1</v>
      </c>
      <c r="L222" s="86">
        <v>1832821</v>
      </c>
      <c r="M222" s="86">
        <v>0</v>
      </c>
      <c r="N222" s="86">
        <v>0</v>
      </c>
      <c r="O222" s="86">
        <v>0</v>
      </c>
      <c r="P222" s="86">
        <v>0</v>
      </c>
      <c r="Q222" s="86">
        <v>0</v>
      </c>
      <c r="R222" s="86">
        <v>0</v>
      </c>
      <c r="S222" s="86">
        <v>0</v>
      </c>
      <c r="T222" s="86">
        <v>0</v>
      </c>
      <c r="U222" s="86">
        <v>0</v>
      </c>
      <c r="V222" s="86">
        <v>0</v>
      </c>
      <c r="W222" s="86">
        <v>0</v>
      </c>
      <c r="X222" s="86">
        <v>0</v>
      </c>
      <c r="Y222" s="86">
        <v>0</v>
      </c>
      <c r="Z222" s="86">
        <v>0</v>
      </c>
      <c r="AA222" s="86">
        <v>0</v>
      </c>
      <c r="AB222" s="88">
        <v>2020</v>
      </c>
    </row>
    <row r="223" spans="1:28" s="1" customFormat="1" ht="35.25" customHeight="1">
      <c r="A223" s="1">
        <v>1</v>
      </c>
      <c r="B223" s="38">
        <f>SUBTOTAL(103,$A$11:A223)</f>
        <v>208</v>
      </c>
      <c r="C223" s="82" t="s">
        <v>488</v>
      </c>
      <c r="D223" s="83">
        <f t="shared" si="11"/>
        <v>199781</v>
      </c>
      <c r="E223" s="86">
        <v>0</v>
      </c>
      <c r="F223" s="86">
        <v>0</v>
      </c>
      <c r="G223" s="86">
        <v>0</v>
      </c>
      <c r="H223" s="86">
        <v>0</v>
      </c>
      <c r="I223" s="86">
        <v>0</v>
      </c>
      <c r="J223" s="86">
        <v>0</v>
      </c>
      <c r="K223" s="87">
        <v>0</v>
      </c>
      <c r="L223" s="86">
        <v>0</v>
      </c>
      <c r="M223" s="86">
        <v>199781</v>
      </c>
      <c r="N223" s="86">
        <v>0</v>
      </c>
      <c r="O223" s="86">
        <v>0</v>
      </c>
      <c r="P223" s="86">
        <v>0</v>
      </c>
      <c r="Q223" s="86">
        <v>0</v>
      </c>
      <c r="R223" s="86">
        <v>0</v>
      </c>
      <c r="S223" s="86">
        <v>0</v>
      </c>
      <c r="T223" s="86">
        <v>0</v>
      </c>
      <c r="U223" s="86">
        <v>0</v>
      </c>
      <c r="V223" s="86">
        <v>0</v>
      </c>
      <c r="W223" s="86">
        <v>0</v>
      </c>
      <c r="X223" s="86">
        <v>0</v>
      </c>
      <c r="Y223" s="86">
        <v>0</v>
      </c>
      <c r="Z223" s="86">
        <v>0</v>
      </c>
      <c r="AA223" s="86">
        <v>0</v>
      </c>
      <c r="AB223" s="88">
        <v>2020</v>
      </c>
    </row>
    <row r="224" spans="1:28" s="1" customFormat="1" ht="35.25" customHeight="1">
      <c r="A224" s="1">
        <v>1</v>
      </c>
      <c r="B224" s="38">
        <f>SUBTOTAL(103,$A$11:A224)</f>
        <v>209</v>
      </c>
      <c r="C224" s="82" t="s">
        <v>489</v>
      </c>
      <c r="D224" s="83">
        <f t="shared" si="11"/>
        <v>1864325</v>
      </c>
      <c r="E224" s="86">
        <v>0</v>
      </c>
      <c r="F224" s="86">
        <v>0</v>
      </c>
      <c r="G224" s="86">
        <v>0</v>
      </c>
      <c r="H224" s="86">
        <v>0</v>
      </c>
      <c r="I224" s="86">
        <v>0</v>
      </c>
      <c r="J224" s="86">
        <v>0</v>
      </c>
      <c r="K224" s="87">
        <v>1</v>
      </c>
      <c r="L224" s="86">
        <f>559000+1305325</f>
        <v>1864325</v>
      </c>
      <c r="M224" s="86">
        <v>0</v>
      </c>
      <c r="N224" s="86">
        <v>0</v>
      </c>
      <c r="O224" s="86">
        <v>0</v>
      </c>
      <c r="P224" s="86">
        <v>0</v>
      </c>
      <c r="Q224" s="86">
        <v>0</v>
      </c>
      <c r="R224" s="86">
        <v>0</v>
      </c>
      <c r="S224" s="86">
        <v>0</v>
      </c>
      <c r="T224" s="86">
        <v>0</v>
      </c>
      <c r="U224" s="86">
        <v>0</v>
      </c>
      <c r="V224" s="86">
        <v>0</v>
      </c>
      <c r="W224" s="86">
        <v>0</v>
      </c>
      <c r="X224" s="86">
        <v>0</v>
      </c>
      <c r="Y224" s="86">
        <v>0</v>
      </c>
      <c r="Z224" s="86">
        <v>0</v>
      </c>
      <c r="AA224" s="86">
        <v>0</v>
      </c>
      <c r="AB224" s="88">
        <v>2020</v>
      </c>
    </row>
    <row r="225" spans="1:28" s="1" customFormat="1" ht="35.25" customHeight="1">
      <c r="A225" s="1">
        <v>1</v>
      </c>
      <c r="B225" s="38">
        <f>SUBTOTAL(103,$A$11:A225)</f>
        <v>210</v>
      </c>
      <c r="C225" s="82" t="s">
        <v>490</v>
      </c>
      <c r="D225" s="83">
        <f t="shared" si="11"/>
        <v>120998</v>
      </c>
      <c r="E225" s="86">
        <v>0</v>
      </c>
      <c r="F225" s="86">
        <v>0</v>
      </c>
      <c r="G225" s="86">
        <v>0</v>
      </c>
      <c r="H225" s="86">
        <v>0</v>
      </c>
      <c r="I225" s="86">
        <v>0</v>
      </c>
      <c r="J225" s="86">
        <v>0</v>
      </c>
      <c r="K225" s="87">
        <v>0</v>
      </c>
      <c r="L225" s="86">
        <v>0</v>
      </c>
      <c r="M225" s="86">
        <v>0</v>
      </c>
      <c r="N225" s="86">
        <v>0</v>
      </c>
      <c r="O225" s="86">
        <v>120998</v>
      </c>
      <c r="P225" s="86">
        <v>0</v>
      </c>
      <c r="Q225" s="86">
        <v>0</v>
      </c>
      <c r="R225" s="86">
        <v>0</v>
      </c>
      <c r="S225" s="86">
        <v>0</v>
      </c>
      <c r="T225" s="86">
        <v>0</v>
      </c>
      <c r="U225" s="86">
        <v>0</v>
      </c>
      <c r="V225" s="86">
        <v>0</v>
      </c>
      <c r="W225" s="86">
        <v>0</v>
      </c>
      <c r="X225" s="86">
        <v>0</v>
      </c>
      <c r="Y225" s="86">
        <v>0</v>
      </c>
      <c r="Z225" s="86">
        <v>0</v>
      </c>
      <c r="AA225" s="86">
        <v>0</v>
      </c>
      <c r="AB225" s="88">
        <v>2020</v>
      </c>
    </row>
    <row r="226" spans="1:28" s="1" customFormat="1" ht="35.25" customHeight="1">
      <c r="A226" s="1">
        <v>1</v>
      </c>
      <c r="B226" s="38">
        <f>SUBTOTAL(103,$A$11:A226)</f>
        <v>211</v>
      </c>
      <c r="C226" s="82" t="s">
        <v>491</v>
      </c>
      <c r="D226" s="83">
        <f t="shared" si="11"/>
        <v>320995</v>
      </c>
      <c r="E226" s="86">
        <v>0</v>
      </c>
      <c r="F226" s="86">
        <v>320995</v>
      </c>
      <c r="G226" s="86">
        <v>0</v>
      </c>
      <c r="H226" s="86">
        <v>0</v>
      </c>
      <c r="I226" s="86">
        <v>0</v>
      </c>
      <c r="J226" s="86">
        <v>0</v>
      </c>
      <c r="K226" s="87">
        <v>0</v>
      </c>
      <c r="L226" s="86">
        <v>0</v>
      </c>
      <c r="M226" s="86">
        <v>0</v>
      </c>
      <c r="N226" s="86">
        <v>0</v>
      </c>
      <c r="O226" s="86">
        <v>0</v>
      </c>
      <c r="P226" s="86">
        <v>0</v>
      </c>
      <c r="Q226" s="86">
        <v>0</v>
      </c>
      <c r="R226" s="86">
        <v>0</v>
      </c>
      <c r="S226" s="86">
        <v>0</v>
      </c>
      <c r="T226" s="86">
        <v>0</v>
      </c>
      <c r="U226" s="86">
        <v>0</v>
      </c>
      <c r="V226" s="86">
        <v>0</v>
      </c>
      <c r="W226" s="86">
        <v>0</v>
      </c>
      <c r="X226" s="86">
        <v>0</v>
      </c>
      <c r="Y226" s="86">
        <v>0</v>
      </c>
      <c r="Z226" s="86">
        <v>0</v>
      </c>
      <c r="AA226" s="86">
        <v>0</v>
      </c>
      <c r="AB226" s="88">
        <v>2020</v>
      </c>
    </row>
    <row r="227" spans="1:28" s="1" customFormat="1" ht="35.25" customHeight="1">
      <c r="A227" s="1">
        <v>1</v>
      </c>
      <c r="B227" s="38">
        <f>SUBTOTAL(103,$A$11:A227)</f>
        <v>212</v>
      </c>
      <c r="C227" s="82" t="s">
        <v>492</v>
      </c>
      <c r="D227" s="83">
        <f t="shared" si="11"/>
        <v>1610664</v>
      </c>
      <c r="E227" s="86">
        <v>0</v>
      </c>
      <c r="F227" s="86">
        <v>0</v>
      </c>
      <c r="G227" s="86">
        <v>0</v>
      </c>
      <c r="H227" s="86">
        <v>0</v>
      </c>
      <c r="I227" s="86">
        <v>0</v>
      </c>
      <c r="J227" s="86">
        <v>0</v>
      </c>
      <c r="K227" s="87">
        <v>0</v>
      </c>
      <c r="L227" s="86">
        <v>0</v>
      </c>
      <c r="M227" s="86">
        <v>0</v>
      </c>
      <c r="N227" s="86">
        <v>0</v>
      </c>
      <c r="O227" s="86">
        <v>1610664</v>
      </c>
      <c r="P227" s="86">
        <v>0</v>
      </c>
      <c r="Q227" s="86">
        <v>0</v>
      </c>
      <c r="R227" s="86">
        <v>0</v>
      </c>
      <c r="S227" s="86">
        <v>0</v>
      </c>
      <c r="T227" s="86">
        <v>0</v>
      </c>
      <c r="U227" s="86">
        <v>0</v>
      </c>
      <c r="V227" s="86">
        <v>0</v>
      </c>
      <c r="W227" s="86">
        <v>0</v>
      </c>
      <c r="X227" s="86">
        <v>0</v>
      </c>
      <c r="Y227" s="86">
        <v>0</v>
      </c>
      <c r="Z227" s="86">
        <v>0</v>
      </c>
      <c r="AA227" s="86">
        <v>0</v>
      </c>
      <c r="AB227" s="88">
        <v>2020</v>
      </c>
    </row>
    <row r="228" spans="1:28" s="1" customFormat="1" ht="35.25" customHeight="1">
      <c r="A228" s="1">
        <v>1</v>
      </c>
      <c r="B228" s="38">
        <f>SUBTOTAL(103,$A$11:A228)</f>
        <v>213</v>
      </c>
      <c r="C228" s="82" t="s">
        <v>493</v>
      </c>
      <c r="D228" s="83">
        <f t="shared" si="11"/>
        <v>5202748</v>
      </c>
      <c r="E228" s="86">
        <v>0</v>
      </c>
      <c r="F228" s="86">
        <v>0</v>
      </c>
      <c r="G228" s="86">
        <v>0</v>
      </c>
      <c r="H228" s="86">
        <v>0</v>
      </c>
      <c r="I228" s="86">
        <v>0</v>
      </c>
      <c r="J228" s="86">
        <v>0</v>
      </c>
      <c r="K228" s="87">
        <v>2</v>
      </c>
      <c r="L228" s="86">
        <f>2120417+2292000</f>
        <v>4412417</v>
      </c>
      <c r="M228" s="86">
        <v>790331</v>
      </c>
      <c r="N228" s="86">
        <v>0</v>
      </c>
      <c r="O228" s="86">
        <v>0</v>
      </c>
      <c r="P228" s="86">
        <v>0</v>
      </c>
      <c r="Q228" s="86">
        <v>0</v>
      </c>
      <c r="R228" s="86">
        <v>0</v>
      </c>
      <c r="S228" s="86">
        <v>0</v>
      </c>
      <c r="T228" s="86">
        <v>0</v>
      </c>
      <c r="U228" s="86">
        <v>0</v>
      </c>
      <c r="V228" s="86">
        <v>0</v>
      </c>
      <c r="W228" s="86">
        <v>0</v>
      </c>
      <c r="X228" s="86">
        <v>0</v>
      </c>
      <c r="Y228" s="86">
        <v>0</v>
      </c>
      <c r="Z228" s="86">
        <v>0</v>
      </c>
      <c r="AA228" s="86">
        <v>0</v>
      </c>
      <c r="AB228" s="88">
        <v>2020</v>
      </c>
    </row>
    <row r="229" spans="1:28" s="1" customFormat="1" ht="35.25" customHeight="1">
      <c r="A229" s="1">
        <v>1</v>
      </c>
      <c r="B229" s="38">
        <f>SUBTOTAL(103,$A$11:A229)</f>
        <v>214</v>
      </c>
      <c r="C229" s="82" t="s">
        <v>494</v>
      </c>
      <c r="D229" s="83">
        <f t="shared" si="11"/>
        <v>2200000</v>
      </c>
      <c r="E229" s="86">
        <v>0</v>
      </c>
      <c r="F229" s="86">
        <v>0</v>
      </c>
      <c r="G229" s="86">
        <v>0</v>
      </c>
      <c r="H229" s="86">
        <v>0</v>
      </c>
      <c r="I229" s="86">
        <v>0</v>
      </c>
      <c r="J229" s="86">
        <v>0</v>
      </c>
      <c r="K229" s="87">
        <v>1</v>
      </c>
      <c r="L229" s="86">
        <v>2200000</v>
      </c>
      <c r="M229" s="86">
        <v>0</v>
      </c>
      <c r="N229" s="86">
        <v>0</v>
      </c>
      <c r="O229" s="86">
        <v>0</v>
      </c>
      <c r="P229" s="86">
        <v>0</v>
      </c>
      <c r="Q229" s="86">
        <v>0</v>
      </c>
      <c r="R229" s="86">
        <v>0</v>
      </c>
      <c r="S229" s="86">
        <v>0</v>
      </c>
      <c r="T229" s="86">
        <v>0</v>
      </c>
      <c r="U229" s="86">
        <v>0</v>
      </c>
      <c r="V229" s="86">
        <v>0</v>
      </c>
      <c r="W229" s="86">
        <v>0</v>
      </c>
      <c r="X229" s="86">
        <v>0</v>
      </c>
      <c r="Y229" s="86">
        <v>0</v>
      </c>
      <c r="Z229" s="86">
        <v>0</v>
      </c>
      <c r="AA229" s="86">
        <v>0</v>
      </c>
      <c r="AB229" s="88">
        <v>2020</v>
      </c>
    </row>
    <row r="230" spans="1:28" s="1" customFormat="1" ht="35.25" customHeight="1">
      <c r="A230" s="1">
        <v>1</v>
      </c>
      <c r="B230" s="38">
        <f>SUBTOTAL(103,$A$11:A230)</f>
        <v>215</v>
      </c>
      <c r="C230" s="82" t="s">
        <v>495</v>
      </c>
      <c r="D230" s="83">
        <f t="shared" si="11"/>
        <v>3101459.17</v>
      </c>
      <c r="E230" s="86">
        <v>0</v>
      </c>
      <c r="F230" s="86">
        <v>0</v>
      </c>
      <c r="G230" s="86">
        <v>0</v>
      </c>
      <c r="H230" s="86">
        <v>0</v>
      </c>
      <c r="I230" s="86">
        <v>0</v>
      </c>
      <c r="J230" s="86">
        <v>0</v>
      </c>
      <c r="K230" s="87">
        <v>0</v>
      </c>
      <c r="L230" s="86">
        <v>0</v>
      </c>
      <c r="M230" s="86">
        <f>843123.3+1632831.87</f>
        <v>2475955.17</v>
      </c>
      <c r="N230" s="86">
        <v>0</v>
      </c>
      <c r="O230" s="86">
        <v>625504</v>
      </c>
      <c r="P230" s="86">
        <v>0</v>
      </c>
      <c r="Q230" s="86">
        <v>0</v>
      </c>
      <c r="R230" s="86">
        <v>0</v>
      </c>
      <c r="S230" s="86">
        <v>0</v>
      </c>
      <c r="T230" s="86">
        <v>0</v>
      </c>
      <c r="U230" s="86">
        <v>0</v>
      </c>
      <c r="V230" s="86">
        <v>0</v>
      </c>
      <c r="W230" s="86">
        <v>0</v>
      </c>
      <c r="X230" s="86">
        <v>0</v>
      </c>
      <c r="Y230" s="86">
        <v>0</v>
      </c>
      <c r="Z230" s="86">
        <v>0</v>
      </c>
      <c r="AA230" s="86">
        <v>0</v>
      </c>
      <c r="AB230" s="88">
        <v>2020</v>
      </c>
    </row>
    <row r="231" spans="1:28" s="1" customFormat="1" ht="35.25" customHeight="1">
      <c r="A231" s="1">
        <v>1</v>
      </c>
      <c r="B231" s="38">
        <f>SUBTOTAL(103,$A$11:A231)</f>
        <v>216</v>
      </c>
      <c r="C231" s="82" t="s">
        <v>496</v>
      </c>
      <c r="D231" s="83">
        <f t="shared" si="11"/>
        <v>4818845</v>
      </c>
      <c r="E231" s="86">
        <v>218845</v>
      </c>
      <c r="F231" s="86">
        <v>0</v>
      </c>
      <c r="G231" s="86">
        <v>0</v>
      </c>
      <c r="H231" s="86">
        <v>0</v>
      </c>
      <c r="I231" s="86">
        <v>0</v>
      </c>
      <c r="J231" s="86">
        <v>0</v>
      </c>
      <c r="K231" s="87">
        <v>2</v>
      </c>
      <c r="L231" s="86">
        <v>4600000</v>
      </c>
      <c r="M231" s="86">
        <v>0</v>
      </c>
      <c r="N231" s="86">
        <v>0</v>
      </c>
      <c r="O231" s="86">
        <v>0</v>
      </c>
      <c r="P231" s="86">
        <v>0</v>
      </c>
      <c r="Q231" s="86">
        <v>0</v>
      </c>
      <c r="R231" s="86">
        <v>0</v>
      </c>
      <c r="S231" s="86">
        <v>0</v>
      </c>
      <c r="T231" s="86">
        <v>0</v>
      </c>
      <c r="U231" s="86">
        <v>0</v>
      </c>
      <c r="V231" s="86">
        <v>0</v>
      </c>
      <c r="W231" s="86">
        <v>0</v>
      </c>
      <c r="X231" s="86">
        <v>0</v>
      </c>
      <c r="Y231" s="86">
        <v>0</v>
      </c>
      <c r="Z231" s="86">
        <v>0</v>
      </c>
      <c r="AA231" s="86">
        <v>0</v>
      </c>
      <c r="AB231" s="88">
        <v>2020</v>
      </c>
    </row>
    <row r="232" spans="1:28" s="1" customFormat="1" ht="35.25" customHeight="1">
      <c r="A232" s="1">
        <v>1</v>
      </c>
      <c r="B232" s="38">
        <f>SUBTOTAL(103,$A$11:A232)</f>
        <v>217</v>
      </c>
      <c r="C232" s="82" t="s">
        <v>497</v>
      </c>
      <c r="D232" s="83">
        <f t="shared" si="11"/>
        <v>2271787</v>
      </c>
      <c r="E232" s="86">
        <v>0</v>
      </c>
      <c r="F232" s="86">
        <v>0</v>
      </c>
      <c r="G232" s="86">
        <v>0</v>
      </c>
      <c r="H232" s="86">
        <v>0</v>
      </c>
      <c r="I232" s="86">
        <v>0</v>
      </c>
      <c r="J232" s="86">
        <v>0</v>
      </c>
      <c r="K232" s="87">
        <v>1</v>
      </c>
      <c r="L232" s="86">
        <f>1247828+534783</f>
        <v>1782611</v>
      </c>
      <c r="M232" s="86">
        <v>489176</v>
      </c>
      <c r="N232" s="86">
        <v>0</v>
      </c>
      <c r="O232" s="86">
        <v>0</v>
      </c>
      <c r="P232" s="86">
        <v>0</v>
      </c>
      <c r="Q232" s="86">
        <v>0</v>
      </c>
      <c r="R232" s="86">
        <v>0</v>
      </c>
      <c r="S232" s="86">
        <v>0</v>
      </c>
      <c r="T232" s="86">
        <v>0</v>
      </c>
      <c r="U232" s="86">
        <v>0</v>
      </c>
      <c r="V232" s="86">
        <v>0</v>
      </c>
      <c r="W232" s="86">
        <v>0</v>
      </c>
      <c r="X232" s="86">
        <v>0</v>
      </c>
      <c r="Y232" s="86">
        <v>0</v>
      </c>
      <c r="Z232" s="86">
        <v>0</v>
      </c>
      <c r="AA232" s="86">
        <v>0</v>
      </c>
      <c r="AB232" s="88">
        <v>2020</v>
      </c>
    </row>
    <row r="233" spans="1:28" s="1" customFormat="1" ht="35.25" customHeight="1">
      <c r="A233" s="1">
        <v>1</v>
      </c>
      <c r="B233" s="38">
        <f>SUBTOTAL(103,$A$11:A233)</f>
        <v>218</v>
      </c>
      <c r="C233" s="82" t="s">
        <v>498</v>
      </c>
      <c r="D233" s="83">
        <f t="shared" si="11"/>
        <v>1820000</v>
      </c>
      <c r="E233" s="86">
        <v>0</v>
      </c>
      <c r="F233" s="86">
        <v>0</v>
      </c>
      <c r="G233" s="86">
        <v>0</v>
      </c>
      <c r="H233" s="86">
        <v>0</v>
      </c>
      <c r="I233" s="86">
        <v>0</v>
      </c>
      <c r="J233" s="86">
        <v>0</v>
      </c>
      <c r="K233" s="87">
        <v>1</v>
      </c>
      <c r="L233" s="86">
        <v>1820000</v>
      </c>
      <c r="M233" s="86">
        <v>0</v>
      </c>
      <c r="N233" s="86">
        <v>0</v>
      </c>
      <c r="O233" s="86">
        <v>0</v>
      </c>
      <c r="P233" s="86">
        <v>0</v>
      </c>
      <c r="Q233" s="86">
        <v>0</v>
      </c>
      <c r="R233" s="86">
        <v>0</v>
      </c>
      <c r="S233" s="86">
        <v>0</v>
      </c>
      <c r="T233" s="86">
        <v>0</v>
      </c>
      <c r="U233" s="86">
        <v>0</v>
      </c>
      <c r="V233" s="86">
        <v>0</v>
      </c>
      <c r="W233" s="86">
        <v>0</v>
      </c>
      <c r="X233" s="86">
        <v>0</v>
      </c>
      <c r="Y233" s="86">
        <v>0</v>
      </c>
      <c r="Z233" s="86">
        <v>0</v>
      </c>
      <c r="AA233" s="86">
        <v>0</v>
      </c>
      <c r="AB233" s="88">
        <v>2020</v>
      </c>
    </row>
    <row r="234" spans="1:28" s="1" customFormat="1" ht="35.25" customHeight="1">
      <c r="A234" s="1">
        <v>1</v>
      </c>
      <c r="B234" s="38">
        <f>SUBTOTAL(103,$A$11:A234)</f>
        <v>219</v>
      </c>
      <c r="C234" s="82" t="s">
        <v>499</v>
      </c>
      <c r="D234" s="83">
        <f t="shared" si="11"/>
        <v>1519461</v>
      </c>
      <c r="E234" s="86">
        <v>0</v>
      </c>
      <c r="F234" s="86">
        <v>0</v>
      </c>
      <c r="G234" s="86">
        <v>0</v>
      </c>
      <c r="H234" s="86">
        <v>0</v>
      </c>
      <c r="I234" s="86">
        <v>0</v>
      </c>
      <c r="J234" s="86">
        <v>0</v>
      </c>
      <c r="K234" s="87">
        <v>0</v>
      </c>
      <c r="L234" s="86">
        <v>0</v>
      </c>
      <c r="M234" s="86">
        <f>687000+832461</f>
        <v>1519461</v>
      </c>
      <c r="N234" s="86">
        <v>0</v>
      </c>
      <c r="O234" s="86">
        <v>0</v>
      </c>
      <c r="P234" s="86">
        <v>0</v>
      </c>
      <c r="Q234" s="86">
        <v>0</v>
      </c>
      <c r="R234" s="86">
        <v>0</v>
      </c>
      <c r="S234" s="86">
        <v>0</v>
      </c>
      <c r="T234" s="86">
        <v>0</v>
      </c>
      <c r="U234" s="86">
        <v>0</v>
      </c>
      <c r="V234" s="86">
        <v>0</v>
      </c>
      <c r="W234" s="86">
        <v>0</v>
      </c>
      <c r="X234" s="86">
        <v>0</v>
      </c>
      <c r="Y234" s="86">
        <v>0</v>
      </c>
      <c r="Z234" s="86">
        <v>0</v>
      </c>
      <c r="AA234" s="86">
        <v>0</v>
      </c>
      <c r="AB234" s="88">
        <v>2020</v>
      </c>
    </row>
    <row r="235" spans="1:28" s="1" customFormat="1" ht="35.25" customHeight="1">
      <c r="A235" s="1">
        <v>1</v>
      </c>
      <c r="B235" s="38">
        <f>SUBTOTAL(103,$A$11:A235)</f>
        <v>220</v>
      </c>
      <c r="C235" s="82" t="s">
        <v>500</v>
      </c>
      <c r="D235" s="83">
        <f t="shared" si="11"/>
        <v>1735000</v>
      </c>
      <c r="E235" s="86">
        <v>0</v>
      </c>
      <c r="F235" s="86">
        <v>0</v>
      </c>
      <c r="G235" s="86">
        <v>0</v>
      </c>
      <c r="H235" s="86">
        <v>0</v>
      </c>
      <c r="I235" s="86">
        <v>0</v>
      </c>
      <c r="J235" s="86">
        <v>0</v>
      </c>
      <c r="K235" s="87">
        <v>1</v>
      </c>
      <c r="L235" s="86">
        <v>1735000</v>
      </c>
      <c r="M235" s="86">
        <v>0</v>
      </c>
      <c r="N235" s="86">
        <v>0</v>
      </c>
      <c r="O235" s="86">
        <v>0</v>
      </c>
      <c r="P235" s="86">
        <v>0</v>
      </c>
      <c r="Q235" s="86">
        <v>0</v>
      </c>
      <c r="R235" s="86">
        <v>0</v>
      </c>
      <c r="S235" s="86">
        <v>0</v>
      </c>
      <c r="T235" s="86">
        <v>0</v>
      </c>
      <c r="U235" s="86">
        <v>0</v>
      </c>
      <c r="V235" s="86">
        <v>0</v>
      </c>
      <c r="W235" s="86">
        <v>0</v>
      </c>
      <c r="X235" s="86">
        <v>0</v>
      </c>
      <c r="Y235" s="86">
        <v>0</v>
      </c>
      <c r="Z235" s="86">
        <v>0</v>
      </c>
      <c r="AA235" s="86">
        <v>0</v>
      </c>
      <c r="AB235" s="88">
        <v>2020</v>
      </c>
    </row>
    <row r="236" spans="1:28" s="1" customFormat="1" ht="35.25" customHeight="1">
      <c r="A236" s="1">
        <v>1</v>
      </c>
      <c r="B236" s="38">
        <f>SUBTOTAL(103,$A$11:A236)</f>
        <v>221</v>
      </c>
      <c r="C236" s="82" t="s">
        <v>501</v>
      </c>
      <c r="D236" s="83">
        <f t="shared" si="11"/>
        <v>1035891.8</v>
      </c>
      <c r="E236" s="86">
        <v>0</v>
      </c>
      <c r="F236" s="86">
        <v>0</v>
      </c>
      <c r="G236" s="86">
        <v>0</v>
      </c>
      <c r="H236" s="86">
        <v>0</v>
      </c>
      <c r="I236" s="86">
        <v>0</v>
      </c>
      <c r="J236" s="86">
        <v>0</v>
      </c>
      <c r="K236" s="87">
        <v>0</v>
      </c>
      <c r="L236" s="86">
        <v>0</v>
      </c>
      <c r="M236" s="86">
        <v>0</v>
      </c>
      <c r="N236" s="86">
        <v>0</v>
      </c>
      <c r="O236" s="86">
        <v>1035891.8</v>
      </c>
      <c r="P236" s="86">
        <v>0</v>
      </c>
      <c r="Q236" s="86">
        <v>0</v>
      </c>
      <c r="R236" s="86">
        <v>0</v>
      </c>
      <c r="S236" s="86">
        <v>0</v>
      </c>
      <c r="T236" s="86">
        <v>0</v>
      </c>
      <c r="U236" s="86">
        <v>0</v>
      </c>
      <c r="V236" s="86">
        <v>0</v>
      </c>
      <c r="W236" s="86">
        <v>0</v>
      </c>
      <c r="X236" s="86">
        <v>0</v>
      </c>
      <c r="Y236" s="86">
        <v>0</v>
      </c>
      <c r="Z236" s="86">
        <v>0</v>
      </c>
      <c r="AA236" s="86">
        <v>0</v>
      </c>
      <c r="AB236" s="88">
        <v>2020</v>
      </c>
    </row>
    <row r="237" spans="1:28" s="1" customFormat="1" ht="35.25" customHeight="1">
      <c r="A237" s="1">
        <v>1</v>
      </c>
      <c r="B237" s="38">
        <f>SUBTOTAL(103,$A$11:A237)</f>
        <v>222</v>
      </c>
      <c r="C237" s="82" t="s">
        <v>502</v>
      </c>
      <c r="D237" s="83">
        <f t="shared" si="11"/>
        <v>1742886.75</v>
      </c>
      <c r="E237" s="86">
        <v>0</v>
      </c>
      <c r="F237" s="86">
        <v>0</v>
      </c>
      <c r="G237" s="86">
        <v>0</v>
      </c>
      <c r="H237" s="86">
        <v>0</v>
      </c>
      <c r="I237" s="86">
        <v>0</v>
      </c>
      <c r="J237" s="86">
        <v>0</v>
      </c>
      <c r="K237" s="87">
        <v>0</v>
      </c>
      <c r="L237" s="86">
        <v>0</v>
      </c>
      <c r="M237" s="86">
        <f>554000+1188886.75</f>
        <v>1742886.75</v>
      </c>
      <c r="N237" s="86">
        <v>0</v>
      </c>
      <c r="O237" s="86">
        <v>0</v>
      </c>
      <c r="P237" s="86">
        <v>0</v>
      </c>
      <c r="Q237" s="86">
        <v>0</v>
      </c>
      <c r="R237" s="86">
        <v>0</v>
      </c>
      <c r="S237" s="86">
        <v>0</v>
      </c>
      <c r="T237" s="86">
        <v>0</v>
      </c>
      <c r="U237" s="86">
        <v>0</v>
      </c>
      <c r="V237" s="86">
        <v>0</v>
      </c>
      <c r="W237" s="86">
        <v>0</v>
      </c>
      <c r="X237" s="86">
        <v>0</v>
      </c>
      <c r="Y237" s="86">
        <v>0</v>
      </c>
      <c r="Z237" s="86">
        <v>0</v>
      </c>
      <c r="AA237" s="86">
        <v>0</v>
      </c>
      <c r="AB237" s="88">
        <v>2020</v>
      </c>
    </row>
    <row r="238" spans="1:28" s="1" customFormat="1" ht="35.25" customHeight="1">
      <c r="A238" s="1">
        <v>1</v>
      </c>
      <c r="B238" s="38">
        <f>SUBTOTAL(103,$A$11:A238)</f>
        <v>223</v>
      </c>
      <c r="C238" s="82" t="s">
        <v>503</v>
      </c>
      <c r="D238" s="83">
        <f t="shared" si="11"/>
        <v>773255</v>
      </c>
      <c r="E238" s="86">
        <v>0</v>
      </c>
      <c r="F238" s="86">
        <v>0</v>
      </c>
      <c r="G238" s="86">
        <v>0</v>
      </c>
      <c r="H238" s="86">
        <v>604137</v>
      </c>
      <c r="I238" s="86">
        <v>0</v>
      </c>
      <c r="J238" s="86">
        <v>0</v>
      </c>
      <c r="K238" s="87">
        <v>0</v>
      </c>
      <c r="L238" s="86">
        <v>0</v>
      </c>
      <c r="M238" s="86">
        <v>0</v>
      </c>
      <c r="N238" s="86">
        <v>0</v>
      </c>
      <c r="O238" s="86">
        <v>169118</v>
      </c>
      <c r="P238" s="86">
        <v>0</v>
      </c>
      <c r="Q238" s="86">
        <v>0</v>
      </c>
      <c r="R238" s="86">
        <v>0</v>
      </c>
      <c r="S238" s="86">
        <v>0</v>
      </c>
      <c r="T238" s="86">
        <v>0</v>
      </c>
      <c r="U238" s="86">
        <v>0</v>
      </c>
      <c r="V238" s="86">
        <v>0</v>
      </c>
      <c r="W238" s="86">
        <v>0</v>
      </c>
      <c r="X238" s="86">
        <v>0</v>
      </c>
      <c r="Y238" s="86">
        <v>0</v>
      </c>
      <c r="Z238" s="86">
        <v>0</v>
      </c>
      <c r="AA238" s="86">
        <v>0</v>
      </c>
      <c r="AB238" s="88">
        <v>2020</v>
      </c>
    </row>
    <row r="239" spans="1:28" s="1" customFormat="1" ht="35.25" customHeight="1">
      <c r="A239" s="1">
        <v>1</v>
      </c>
      <c r="B239" s="38">
        <f>SUBTOTAL(103,$A$11:A239)</f>
        <v>224</v>
      </c>
      <c r="C239" s="82" t="s">
        <v>504</v>
      </c>
      <c r="D239" s="83">
        <f t="shared" si="11"/>
        <v>1045804.33</v>
      </c>
      <c r="E239" s="86">
        <v>0</v>
      </c>
      <c r="F239" s="86">
        <v>0</v>
      </c>
      <c r="G239" s="86">
        <v>0</v>
      </c>
      <c r="H239" s="86">
        <v>0</v>
      </c>
      <c r="I239" s="86">
        <v>0</v>
      </c>
      <c r="J239" s="86">
        <v>0</v>
      </c>
      <c r="K239" s="87">
        <v>0</v>
      </c>
      <c r="L239" s="86">
        <v>0</v>
      </c>
      <c r="M239" s="86">
        <f>334000+711804.33</f>
        <v>1045804.33</v>
      </c>
      <c r="N239" s="86">
        <v>0</v>
      </c>
      <c r="O239" s="86">
        <v>0</v>
      </c>
      <c r="P239" s="86">
        <v>0</v>
      </c>
      <c r="Q239" s="86">
        <v>0</v>
      </c>
      <c r="R239" s="86">
        <v>0</v>
      </c>
      <c r="S239" s="86">
        <v>0</v>
      </c>
      <c r="T239" s="86">
        <v>0</v>
      </c>
      <c r="U239" s="86">
        <v>0</v>
      </c>
      <c r="V239" s="86">
        <v>0</v>
      </c>
      <c r="W239" s="86">
        <v>0</v>
      </c>
      <c r="X239" s="86">
        <v>0</v>
      </c>
      <c r="Y239" s="86">
        <v>0</v>
      </c>
      <c r="Z239" s="86">
        <v>0</v>
      </c>
      <c r="AA239" s="86">
        <v>0</v>
      </c>
      <c r="AB239" s="88">
        <v>2020</v>
      </c>
    </row>
    <row r="240" spans="1:28" s="1" customFormat="1" ht="35.25" customHeight="1">
      <c r="A240" s="1">
        <v>1</v>
      </c>
      <c r="B240" s="38">
        <f>SUBTOTAL(103,$A$11:A240)</f>
        <v>225</v>
      </c>
      <c r="C240" s="82" t="s">
        <v>505</v>
      </c>
      <c r="D240" s="83">
        <f t="shared" si="11"/>
        <v>190602.5</v>
      </c>
      <c r="E240" s="86">
        <v>0</v>
      </c>
      <c r="F240" s="86">
        <v>0</v>
      </c>
      <c r="G240" s="86">
        <v>0</v>
      </c>
      <c r="H240" s="86">
        <v>0</v>
      </c>
      <c r="I240" s="86">
        <v>0</v>
      </c>
      <c r="J240" s="86">
        <v>0</v>
      </c>
      <c r="K240" s="87">
        <v>0</v>
      </c>
      <c r="L240" s="86">
        <v>0</v>
      </c>
      <c r="M240" s="86">
        <v>0</v>
      </c>
      <c r="N240" s="86">
        <v>0</v>
      </c>
      <c r="O240" s="86">
        <f>107200+18400</f>
        <v>125600</v>
      </c>
      <c r="P240" s="86">
        <v>65002.5</v>
      </c>
      <c r="Q240" s="86">
        <v>0</v>
      </c>
      <c r="R240" s="86">
        <v>0</v>
      </c>
      <c r="S240" s="86">
        <v>0</v>
      </c>
      <c r="T240" s="86">
        <v>0</v>
      </c>
      <c r="U240" s="86">
        <v>0</v>
      </c>
      <c r="V240" s="86">
        <v>0</v>
      </c>
      <c r="W240" s="86">
        <v>0</v>
      </c>
      <c r="X240" s="86">
        <v>0</v>
      </c>
      <c r="Y240" s="86">
        <v>0</v>
      </c>
      <c r="Z240" s="86">
        <v>0</v>
      </c>
      <c r="AA240" s="86">
        <v>0</v>
      </c>
      <c r="AB240" s="88">
        <v>2020</v>
      </c>
    </row>
    <row r="241" spans="1:28" s="1" customFormat="1" ht="35.25" customHeight="1">
      <c r="A241" s="1">
        <v>1</v>
      </c>
      <c r="B241" s="38">
        <f>SUBTOTAL(103,$A$11:A241)</f>
        <v>226</v>
      </c>
      <c r="C241" s="82" t="s">
        <v>506</v>
      </c>
      <c r="D241" s="83">
        <f t="shared" si="11"/>
        <v>250071</v>
      </c>
      <c r="E241" s="86">
        <v>0</v>
      </c>
      <c r="F241" s="86">
        <v>0</v>
      </c>
      <c r="G241" s="86">
        <v>0</v>
      </c>
      <c r="H241" s="86">
        <v>0</v>
      </c>
      <c r="I241" s="86">
        <v>0</v>
      </c>
      <c r="J241" s="86">
        <v>0</v>
      </c>
      <c r="K241" s="87">
        <v>0</v>
      </c>
      <c r="L241" s="86">
        <v>0</v>
      </c>
      <c r="M241" s="86">
        <v>0</v>
      </c>
      <c r="N241" s="86">
        <v>0</v>
      </c>
      <c r="O241" s="86">
        <v>250071</v>
      </c>
      <c r="P241" s="86">
        <v>0</v>
      </c>
      <c r="Q241" s="86">
        <v>0</v>
      </c>
      <c r="R241" s="86">
        <v>0</v>
      </c>
      <c r="S241" s="86">
        <v>0</v>
      </c>
      <c r="T241" s="86">
        <v>0</v>
      </c>
      <c r="U241" s="86">
        <v>0</v>
      </c>
      <c r="V241" s="86">
        <v>0</v>
      </c>
      <c r="W241" s="86">
        <v>0</v>
      </c>
      <c r="X241" s="86">
        <v>0</v>
      </c>
      <c r="Y241" s="86">
        <v>0</v>
      </c>
      <c r="Z241" s="86">
        <v>0</v>
      </c>
      <c r="AA241" s="86">
        <v>0</v>
      </c>
      <c r="AB241" s="88">
        <v>2020</v>
      </c>
    </row>
    <row r="242" spans="1:28" s="1" customFormat="1" ht="35.25" customHeight="1">
      <c r="A242" s="1">
        <v>1</v>
      </c>
      <c r="B242" s="38">
        <f>SUBTOTAL(103,$A$11:A242)</f>
        <v>227</v>
      </c>
      <c r="C242" s="82" t="s">
        <v>507</v>
      </c>
      <c r="D242" s="83">
        <f t="shared" si="11"/>
        <v>1715000</v>
      </c>
      <c r="E242" s="86">
        <v>0</v>
      </c>
      <c r="F242" s="86">
        <v>0</v>
      </c>
      <c r="G242" s="86">
        <v>0</v>
      </c>
      <c r="H242" s="86">
        <v>0</v>
      </c>
      <c r="I242" s="86">
        <v>0</v>
      </c>
      <c r="J242" s="86">
        <v>0</v>
      </c>
      <c r="K242" s="87">
        <v>1</v>
      </c>
      <c r="L242" s="86">
        <v>1715000</v>
      </c>
      <c r="M242" s="86">
        <v>0</v>
      </c>
      <c r="N242" s="86">
        <v>0</v>
      </c>
      <c r="O242" s="86">
        <v>0</v>
      </c>
      <c r="P242" s="86">
        <v>0</v>
      </c>
      <c r="Q242" s="86">
        <v>0</v>
      </c>
      <c r="R242" s="86">
        <v>0</v>
      </c>
      <c r="S242" s="86">
        <v>0</v>
      </c>
      <c r="T242" s="86">
        <v>0</v>
      </c>
      <c r="U242" s="86">
        <v>0</v>
      </c>
      <c r="V242" s="86">
        <v>0</v>
      </c>
      <c r="W242" s="86">
        <v>0</v>
      </c>
      <c r="X242" s="86">
        <v>0</v>
      </c>
      <c r="Y242" s="86">
        <v>0</v>
      </c>
      <c r="Z242" s="86">
        <v>0</v>
      </c>
      <c r="AA242" s="86">
        <v>0</v>
      </c>
      <c r="AB242" s="88">
        <v>2020</v>
      </c>
    </row>
    <row r="243" spans="1:28" s="1" customFormat="1" ht="35.25" customHeight="1">
      <c r="A243" s="1">
        <v>1</v>
      </c>
      <c r="B243" s="38">
        <f>SUBTOTAL(103,$A$11:A243)</f>
        <v>228</v>
      </c>
      <c r="C243" s="82" t="s">
        <v>711</v>
      </c>
      <c r="D243" s="83">
        <f t="shared" si="11"/>
        <v>242201.66</v>
      </c>
      <c r="E243" s="89">
        <v>0</v>
      </c>
      <c r="F243" s="89">
        <v>0</v>
      </c>
      <c r="G243" s="89">
        <v>0</v>
      </c>
      <c r="H243" s="89">
        <v>0</v>
      </c>
      <c r="I243" s="89">
        <v>0</v>
      </c>
      <c r="J243" s="89">
        <v>0</v>
      </c>
      <c r="K243" s="90">
        <v>0</v>
      </c>
      <c r="L243" s="89">
        <v>0</v>
      </c>
      <c r="M243" s="89">
        <v>0</v>
      </c>
      <c r="N243" s="89">
        <v>0</v>
      </c>
      <c r="O243" s="89">
        <v>242201.66</v>
      </c>
      <c r="P243" s="89">
        <v>0</v>
      </c>
      <c r="Q243" s="89">
        <v>0</v>
      </c>
      <c r="R243" s="89">
        <v>0</v>
      </c>
      <c r="S243" s="89">
        <v>0</v>
      </c>
      <c r="T243" s="89">
        <v>0</v>
      </c>
      <c r="U243" s="89">
        <v>0</v>
      </c>
      <c r="V243" s="89">
        <v>0</v>
      </c>
      <c r="W243" s="89">
        <v>0</v>
      </c>
      <c r="X243" s="89">
        <v>0</v>
      </c>
      <c r="Y243" s="89">
        <v>0</v>
      </c>
      <c r="Z243" s="89">
        <v>0</v>
      </c>
      <c r="AA243" s="89">
        <v>0</v>
      </c>
      <c r="AB243" s="88">
        <v>2020</v>
      </c>
    </row>
    <row r="244" spans="1:28" s="1" customFormat="1" ht="35.25" customHeight="1">
      <c r="A244" s="1">
        <v>1</v>
      </c>
      <c r="B244" s="38">
        <f>SUBTOTAL(103,$A$11:A244)</f>
        <v>229</v>
      </c>
      <c r="C244" s="82" t="s">
        <v>712</v>
      </c>
      <c r="D244" s="83">
        <f t="shared" si="11"/>
        <v>508550.07</v>
      </c>
      <c r="E244" s="89">
        <v>0</v>
      </c>
      <c r="F244" s="89">
        <v>0</v>
      </c>
      <c r="G244" s="89">
        <v>0</v>
      </c>
      <c r="H244" s="89">
        <v>0</v>
      </c>
      <c r="I244" s="89">
        <v>0</v>
      </c>
      <c r="J244" s="89">
        <v>0</v>
      </c>
      <c r="K244" s="90">
        <v>0</v>
      </c>
      <c r="L244" s="89">
        <v>0</v>
      </c>
      <c r="M244" s="89">
        <v>0</v>
      </c>
      <c r="N244" s="89">
        <v>0</v>
      </c>
      <c r="O244" s="89">
        <v>508550.07</v>
      </c>
      <c r="P244" s="89">
        <v>0</v>
      </c>
      <c r="Q244" s="89">
        <v>0</v>
      </c>
      <c r="R244" s="89">
        <v>0</v>
      </c>
      <c r="S244" s="89">
        <v>0</v>
      </c>
      <c r="T244" s="89">
        <v>0</v>
      </c>
      <c r="U244" s="89">
        <v>0</v>
      </c>
      <c r="V244" s="89">
        <v>0</v>
      </c>
      <c r="W244" s="89">
        <v>0</v>
      </c>
      <c r="X244" s="89">
        <v>0</v>
      </c>
      <c r="Y244" s="89">
        <v>0</v>
      </c>
      <c r="Z244" s="89">
        <v>0</v>
      </c>
      <c r="AA244" s="89">
        <v>0</v>
      </c>
      <c r="AB244" s="88">
        <v>2020</v>
      </c>
    </row>
    <row r="245" spans="1:28" s="1" customFormat="1" ht="35.25" customHeight="1">
      <c r="A245" s="1">
        <v>1</v>
      </c>
      <c r="B245" s="38">
        <f>SUBTOTAL(103,$A$11:A245)</f>
        <v>230</v>
      </c>
      <c r="C245" s="82" t="s">
        <v>713</v>
      </c>
      <c r="D245" s="83">
        <f t="shared" si="11"/>
        <v>1247325.5900000001</v>
      </c>
      <c r="E245" s="89">
        <v>0</v>
      </c>
      <c r="F245" s="89">
        <v>0</v>
      </c>
      <c r="G245" s="89">
        <v>0</v>
      </c>
      <c r="H245" s="89">
        <v>0</v>
      </c>
      <c r="I245" s="89">
        <v>0</v>
      </c>
      <c r="J245" s="89">
        <v>0</v>
      </c>
      <c r="K245" s="90">
        <v>0</v>
      </c>
      <c r="L245" s="89">
        <v>0</v>
      </c>
      <c r="M245" s="89">
        <v>1247325.5900000001</v>
      </c>
      <c r="N245" s="89">
        <v>0</v>
      </c>
      <c r="O245" s="89">
        <v>0</v>
      </c>
      <c r="P245" s="89">
        <v>0</v>
      </c>
      <c r="Q245" s="89">
        <v>0</v>
      </c>
      <c r="R245" s="89">
        <v>0</v>
      </c>
      <c r="S245" s="89">
        <v>0</v>
      </c>
      <c r="T245" s="89">
        <v>0</v>
      </c>
      <c r="U245" s="89">
        <v>0</v>
      </c>
      <c r="V245" s="89">
        <v>0</v>
      </c>
      <c r="W245" s="89">
        <v>0</v>
      </c>
      <c r="X245" s="89">
        <v>0</v>
      </c>
      <c r="Y245" s="89">
        <v>0</v>
      </c>
      <c r="Z245" s="89">
        <v>0</v>
      </c>
      <c r="AA245" s="89">
        <v>0</v>
      </c>
      <c r="AB245" s="88">
        <v>2020</v>
      </c>
    </row>
    <row r="246" spans="1:28" s="1" customFormat="1" ht="35.25" customHeight="1">
      <c r="A246" s="1">
        <v>1</v>
      </c>
      <c r="B246" s="38">
        <f>SUBTOTAL(103,$A$11:A246)</f>
        <v>231</v>
      </c>
      <c r="C246" s="82" t="s">
        <v>714</v>
      </c>
      <c r="D246" s="83">
        <f t="shared" si="11"/>
        <v>1278007.1000000001</v>
      </c>
      <c r="E246" s="89">
        <v>0</v>
      </c>
      <c r="F246" s="89">
        <v>0</v>
      </c>
      <c r="G246" s="89">
        <v>0</v>
      </c>
      <c r="H246" s="89">
        <v>0</v>
      </c>
      <c r="I246" s="89">
        <v>0</v>
      </c>
      <c r="J246" s="89">
        <v>0</v>
      </c>
      <c r="K246" s="90">
        <v>0</v>
      </c>
      <c r="L246" s="89">
        <v>0</v>
      </c>
      <c r="M246" s="89">
        <v>0</v>
      </c>
      <c r="N246" s="89">
        <v>0</v>
      </c>
      <c r="O246" s="89">
        <v>1278007.1000000001</v>
      </c>
      <c r="P246" s="89">
        <v>0</v>
      </c>
      <c r="Q246" s="89">
        <v>0</v>
      </c>
      <c r="R246" s="89">
        <v>0</v>
      </c>
      <c r="S246" s="89">
        <v>0</v>
      </c>
      <c r="T246" s="89">
        <v>0</v>
      </c>
      <c r="U246" s="89">
        <v>0</v>
      </c>
      <c r="V246" s="89">
        <v>0</v>
      </c>
      <c r="W246" s="89">
        <v>0</v>
      </c>
      <c r="X246" s="89">
        <v>0</v>
      </c>
      <c r="Y246" s="89">
        <v>0</v>
      </c>
      <c r="Z246" s="89">
        <v>0</v>
      </c>
      <c r="AA246" s="89">
        <v>0</v>
      </c>
      <c r="AB246" s="88">
        <v>2020</v>
      </c>
    </row>
    <row r="247" spans="1:28" s="1" customFormat="1" ht="35.25" customHeight="1">
      <c r="A247" s="1">
        <v>1</v>
      </c>
      <c r="B247" s="38">
        <f>SUBTOTAL(103,$A$11:A247)</f>
        <v>232</v>
      </c>
      <c r="C247" s="82" t="s">
        <v>715</v>
      </c>
      <c r="D247" s="83">
        <f t="shared" si="11"/>
        <v>1573506.01</v>
      </c>
      <c r="E247" s="89">
        <v>0</v>
      </c>
      <c r="F247" s="89">
        <v>0</v>
      </c>
      <c r="G247" s="89">
        <v>0</v>
      </c>
      <c r="H247" s="89">
        <v>0</v>
      </c>
      <c r="I247" s="89">
        <v>0</v>
      </c>
      <c r="J247" s="89">
        <v>0</v>
      </c>
      <c r="K247" s="90">
        <v>0</v>
      </c>
      <c r="L247" s="89">
        <v>0</v>
      </c>
      <c r="M247" s="89">
        <v>1573506.01</v>
      </c>
      <c r="N247" s="89">
        <v>0</v>
      </c>
      <c r="O247" s="89">
        <v>0</v>
      </c>
      <c r="P247" s="89">
        <v>0</v>
      </c>
      <c r="Q247" s="89">
        <v>0</v>
      </c>
      <c r="R247" s="89">
        <v>0</v>
      </c>
      <c r="S247" s="89">
        <v>0</v>
      </c>
      <c r="T247" s="89">
        <v>0</v>
      </c>
      <c r="U247" s="89">
        <v>0</v>
      </c>
      <c r="V247" s="89">
        <v>0</v>
      </c>
      <c r="W247" s="89">
        <v>0</v>
      </c>
      <c r="X247" s="89">
        <v>0</v>
      </c>
      <c r="Y247" s="89">
        <v>0</v>
      </c>
      <c r="Z247" s="89">
        <v>0</v>
      </c>
      <c r="AA247" s="89">
        <v>0</v>
      </c>
      <c r="AB247" s="88">
        <v>2020</v>
      </c>
    </row>
    <row r="248" spans="1:28" s="1" customFormat="1" ht="35.25" customHeight="1">
      <c r="A248" s="1">
        <v>1</v>
      </c>
      <c r="B248" s="38">
        <f>SUBTOTAL(103,$A$11:A248)</f>
        <v>233</v>
      </c>
      <c r="C248" s="82" t="s">
        <v>579</v>
      </c>
      <c r="D248" s="83">
        <f t="shared" si="11"/>
        <v>589794.53</v>
      </c>
      <c r="E248" s="89">
        <v>0</v>
      </c>
      <c r="F248" s="89">
        <v>0</v>
      </c>
      <c r="G248" s="89">
        <v>0</v>
      </c>
      <c r="H248" s="89">
        <v>0</v>
      </c>
      <c r="I248" s="89">
        <v>0</v>
      </c>
      <c r="J248" s="89">
        <v>0</v>
      </c>
      <c r="K248" s="90">
        <v>0</v>
      </c>
      <c r="L248" s="89">
        <v>0</v>
      </c>
      <c r="M248" s="89">
        <v>0</v>
      </c>
      <c r="N248" s="89">
        <v>0</v>
      </c>
      <c r="O248" s="89">
        <v>589794.53</v>
      </c>
      <c r="P248" s="89">
        <v>0</v>
      </c>
      <c r="Q248" s="89">
        <v>0</v>
      </c>
      <c r="R248" s="89">
        <v>0</v>
      </c>
      <c r="S248" s="89">
        <v>0</v>
      </c>
      <c r="T248" s="89">
        <v>0</v>
      </c>
      <c r="U248" s="89">
        <v>0</v>
      </c>
      <c r="V248" s="89">
        <v>0</v>
      </c>
      <c r="W248" s="89">
        <v>0</v>
      </c>
      <c r="X248" s="89">
        <v>0</v>
      </c>
      <c r="Y248" s="89">
        <v>0</v>
      </c>
      <c r="Z248" s="89">
        <v>0</v>
      </c>
      <c r="AA248" s="89">
        <v>0</v>
      </c>
      <c r="AB248" s="88">
        <v>2020</v>
      </c>
    </row>
    <row r="249" spans="1:28" s="1" customFormat="1" ht="35.25" customHeight="1">
      <c r="A249" s="1">
        <v>1</v>
      </c>
      <c r="B249" s="38">
        <f>SUBTOTAL(103,$A$11:A249)</f>
        <v>234</v>
      </c>
      <c r="C249" s="82" t="s">
        <v>716</v>
      </c>
      <c r="D249" s="83">
        <f t="shared" si="11"/>
        <v>1815600.86</v>
      </c>
      <c r="E249" s="89">
        <v>0</v>
      </c>
      <c r="F249" s="89">
        <v>0</v>
      </c>
      <c r="G249" s="89">
        <v>1815600.86</v>
      </c>
      <c r="H249" s="89">
        <v>0</v>
      </c>
      <c r="I249" s="89">
        <v>0</v>
      </c>
      <c r="J249" s="89">
        <v>0</v>
      </c>
      <c r="K249" s="90">
        <v>0</v>
      </c>
      <c r="L249" s="89">
        <v>0</v>
      </c>
      <c r="M249" s="89">
        <v>0</v>
      </c>
      <c r="N249" s="89">
        <v>0</v>
      </c>
      <c r="O249" s="89">
        <v>0</v>
      </c>
      <c r="P249" s="89">
        <v>0</v>
      </c>
      <c r="Q249" s="89">
        <v>0</v>
      </c>
      <c r="R249" s="89">
        <v>0</v>
      </c>
      <c r="S249" s="89">
        <v>0</v>
      </c>
      <c r="T249" s="89">
        <v>0</v>
      </c>
      <c r="U249" s="89">
        <v>0</v>
      </c>
      <c r="V249" s="89">
        <v>0</v>
      </c>
      <c r="W249" s="89">
        <v>0</v>
      </c>
      <c r="X249" s="89">
        <v>0</v>
      </c>
      <c r="Y249" s="89">
        <v>0</v>
      </c>
      <c r="Z249" s="89">
        <v>0</v>
      </c>
      <c r="AA249" s="89">
        <v>0</v>
      </c>
      <c r="AB249" s="88">
        <v>2020</v>
      </c>
    </row>
    <row r="250" spans="1:28" s="1" customFormat="1" ht="35.25" customHeight="1">
      <c r="A250" s="1">
        <v>1</v>
      </c>
      <c r="B250" s="38">
        <f>SUBTOTAL(103,$A$11:A250)</f>
        <v>235</v>
      </c>
      <c r="C250" s="82" t="s">
        <v>717</v>
      </c>
      <c r="D250" s="83">
        <f t="shared" si="11"/>
        <v>1078229.55</v>
      </c>
      <c r="E250" s="89">
        <v>0</v>
      </c>
      <c r="F250" s="89">
        <v>0</v>
      </c>
      <c r="G250" s="89">
        <v>0</v>
      </c>
      <c r="H250" s="89">
        <v>0</v>
      </c>
      <c r="I250" s="89">
        <v>0</v>
      </c>
      <c r="J250" s="89">
        <v>0</v>
      </c>
      <c r="K250" s="90">
        <v>0</v>
      </c>
      <c r="L250" s="89">
        <v>0</v>
      </c>
      <c r="M250" s="89">
        <v>0</v>
      </c>
      <c r="N250" s="89">
        <v>0</v>
      </c>
      <c r="O250" s="89">
        <v>1078229.55</v>
      </c>
      <c r="P250" s="89">
        <v>0</v>
      </c>
      <c r="Q250" s="89">
        <v>0</v>
      </c>
      <c r="R250" s="89">
        <v>0</v>
      </c>
      <c r="S250" s="89">
        <v>0</v>
      </c>
      <c r="T250" s="89">
        <v>0</v>
      </c>
      <c r="U250" s="89">
        <v>0</v>
      </c>
      <c r="V250" s="89">
        <v>0</v>
      </c>
      <c r="W250" s="89">
        <v>0</v>
      </c>
      <c r="X250" s="89">
        <v>0</v>
      </c>
      <c r="Y250" s="89">
        <v>0</v>
      </c>
      <c r="Z250" s="89">
        <v>0</v>
      </c>
      <c r="AA250" s="89">
        <v>0</v>
      </c>
      <c r="AB250" s="88">
        <v>2020</v>
      </c>
    </row>
    <row r="251" spans="1:28" s="1" customFormat="1" ht="35.25" customHeight="1">
      <c r="A251" s="1">
        <v>1</v>
      </c>
      <c r="B251" s="38">
        <f>SUBTOTAL(103,$A$11:A251)</f>
        <v>236</v>
      </c>
      <c r="C251" s="82" t="s">
        <v>718</v>
      </c>
      <c r="D251" s="83">
        <f t="shared" si="11"/>
        <v>231984</v>
      </c>
      <c r="E251" s="89">
        <v>0</v>
      </c>
      <c r="F251" s="89">
        <v>0</v>
      </c>
      <c r="G251" s="89">
        <v>0</v>
      </c>
      <c r="H251" s="89">
        <v>0</v>
      </c>
      <c r="I251" s="89">
        <v>0</v>
      </c>
      <c r="J251" s="89">
        <v>0</v>
      </c>
      <c r="K251" s="90">
        <v>0</v>
      </c>
      <c r="L251" s="89">
        <v>0</v>
      </c>
      <c r="M251" s="89">
        <v>0</v>
      </c>
      <c r="N251" s="89">
        <v>0</v>
      </c>
      <c r="O251" s="89">
        <v>0</v>
      </c>
      <c r="P251" s="89">
        <v>231984</v>
      </c>
      <c r="Q251" s="89">
        <v>0</v>
      </c>
      <c r="R251" s="89">
        <v>0</v>
      </c>
      <c r="S251" s="89">
        <v>0</v>
      </c>
      <c r="T251" s="89">
        <v>0</v>
      </c>
      <c r="U251" s="89">
        <v>0</v>
      </c>
      <c r="V251" s="89">
        <v>0</v>
      </c>
      <c r="W251" s="89">
        <v>0</v>
      </c>
      <c r="X251" s="89">
        <v>0</v>
      </c>
      <c r="Y251" s="89">
        <v>0</v>
      </c>
      <c r="Z251" s="89">
        <v>0</v>
      </c>
      <c r="AA251" s="89">
        <v>0</v>
      </c>
      <c r="AB251" s="88">
        <v>2020</v>
      </c>
    </row>
    <row r="252" spans="1:28" s="1" customFormat="1" ht="35.25" customHeight="1">
      <c r="A252" s="1">
        <v>1</v>
      </c>
      <c r="B252" s="38">
        <f>SUBTOTAL(103,$A$11:A252)</f>
        <v>237</v>
      </c>
      <c r="C252" s="82" t="s">
        <v>719</v>
      </c>
      <c r="D252" s="83">
        <f t="shared" si="11"/>
        <v>1578380.8</v>
      </c>
      <c r="E252" s="89">
        <v>0</v>
      </c>
      <c r="F252" s="89">
        <v>0</v>
      </c>
      <c r="G252" s="89">
        <v>0</v>
      </c>
      <c r="H252" s="89">
        <v>0</v>
      </c>
      <c r="I252" s="89">
        <v>0</v>
      </c>
      <c r="J252" s="89">
        <v>0</v>
      </c>
      <c r="K252" s="90">
        <v>0</v>
      </c>
      <c r="L252" s="89">
        <v>0</v>
      </c>
      <c r="M252" s="89">
        <v>1028291</v>
      </c>
      <c r="N252" s="89">
        <v>0</v>
      </c>
      <c r="O252" s="89">
        <v>550089.80000000005</v>
      </c>
      <c r="P252" s="89">
        <v>0</v>
      </c>
      <c r="Q252" s="89">
        <v>0</v>
      </c>
      <c r="R252" s="89">
        <v>0</v>
      </c>
      <c r="S252" s="89">
        <v>0</v>
      </c>
      <c r="T252" s="89">
        <v>0</v>
      </c>
      <c r="U252" s="89">
        <v>0</v>
      </c>
      <c r="V252" s="89">
        <v>0</v>
      </c>
      <c r="W252" s="89">
        <v>0</v>
      </c>
      <c r="X252" s="89">
        <v>0</v>
      </c>
      <c r="Y252" s="89">
        <v>0</v>
      </c>
      <c r="Z252" s="89">
        <v>0</v>
      </c>
      <c r="AA252" s="89">
        <v>0</v>
      </c>
      <c r="AB252" s="88">
        <v>2020</v>
      </c>
    </row>
    <row r="253" spans="1:28" s="1" customFormat="1" ht="35.25" customHeight="1">
      <c r="A253" s="1">
        <v>1</v>
      </c>
      <c r="B253" s="38">
        <f>SUBTOTAL(103,$A$11:A253)</f>
        <v>238</v>
      </c>
      <c r="C253" s="82" t="s">
        <v>720</v>
      </c>
      <c r="D253" s="83">
        <f t="shared" si="11"/>
        <v>567062.04</v>
      </c>
      <c r="E253" s="89">
        <v>0</v>
      </c>
      <c r="F253" s="89">
        <v>0</v>
      </c>
      <c r="G253" s="89">
        <v>0</v>
      </c>
      <c r="H253" s="89">
        <v>0</v>
      </c>
      <c r="I253" s="89">
        <v>567062.04</v>
      </c>
      <c r="J253" s="89">
        <v>0</v>
      </c>
      <c r="K253" s="90">
        <v>0</v>
      </c>
      <c r="L253" s="89">
        <v>0</v>
      </c>
      <c r="M253" s="89">
        <v>0</v>
      </c>
      <c r="N253" s="89">
        <v>0</v>
      </c>
      <c r="O253" s="89">
        <v>0</v>
      </c>
      <c r="P253" s="89">
        <v>0</v>
      </c>
      <c r="Q253" s="89">
        <v>0</v>
      </c>
      <c r="R253" s="89">
        <v>0</v>
      </c>
      <c r="S253" s="89">
        <v>0</v>
      </c>
      <c r="T253" s="89">
        <v>0</v>
      </c>
      <c r="U253" s="89">
        <v>0</v>
      </c>
      <c r="V253" s="89">
        <v>0</v>
      </c>
      <c r="W253" s="89">
        <v>0</v>
      </c>
      <c r="X253" s="89">
        <v>0</v>
      </c>
      <c r="Y253" s="89">
        <v>0</v>
      </c>
      <c r="Z253" s="89">
        <v>0</v>
      </c>
      <c r="AA253" s="89">
        <v>0</v>
      </c>
      <c r="AB253" s="88">
        <v>2020</v>
      </c>
    </row>
    <row r="254" spans="1:28" s="1" customFormat="1" ht="35.25" customHeight="1">
      <c r="A254" s="1">
        <v>1</v>
      </c>
      <c r="B254" s="38">
        <f>SUBTOTAL(103,$A$11:A254)</f>
        <v>239</v>
      </c>
      <c r="C254" s="82" t="s">
        <v>721</v>
      </c>
      <c r="D254" s="83">
        <f t="shared" si="11"/>
        <v>2516334.0499999998</v>
      </c>
      <c r="E254" s="89">
        <v>0</v>
      </c>
      <c r="F254" s="89">
        <v>0</v>
      </c>
      <c r="G254" s="89">
        <v>0</v>
      </c>
      <c r="H254" s="89">
        <v>0</v>
      </c>
      <c r="I254" s="89">
        <v>0</v>
      </c>
      <c r="J254" s="89">
        <v>0</v>
      </c>
      <c r="K254" s="90">
        <v>0</v>
      </c>
      <c r="L254" s="89">
        <v>0</v>
      </c>
      <c r="M254" s="89">
        <v>2516334.0499999998</v>
      </c>
      <c r="N254" s="89">
        <v>0</v>
      </c>
      <c r="O254" s="89">
        <v>0</v>
      </c>
      <c r="P254" s="89">
        <v>0</v>
      </c>
      <c r="Q254" s="89">
        <v>0</v>
      </c>
      <c r="R254" s="89">
        <v>0</v>
      </c>
      <c r="S254" s="89">
        <v>0</v>
      </c>
      <c r="T254" s="89">
        <v>0</v>
      </c>
      <c r="U254" s="89">
        <v>0</v>
      </c>
      <c r="V254" s="89">
        <v>0</v>
      </c>
      <c r="W254" s="89">
        <v>0</v>
      </c>
      <c r="X254" s="89">
        <v>0</v>
      </c>
      <c r="Y254" s="89">
        <v>0</v>
      </c>
      <c r="Z254" s="89">
        <v>0</v>
      </c>
      <c r="AA254" s="89">
        <v>0</v>
      </c>
      <c r="AB254" s="88">
        <v>2020</v>
      </c>
    </row>
    <row r="255" spans="1:28" s="1" customFormat="1" ht="35.25" customHeight="1">
      <c r="A255" s="1">
        <v>1</v>
      </c>
      <c r="B255" s="38">
        <f>SUBTOTAL(103,$A$11:A255)</f>
        <v>240</v>
      </c>
      <c r="C255" s="82" t="s">
        <v>722</v>
      </c>
      <c r="D255" s="83">
        <f t="shared" si="11"/>
        <v>294657.71999999997</v>
      </c>
      <c r="E255" s="89">
        <v>294657.71999999997</v>
      </c>
      <c r="F255" s="89">
        <v>0</v>
      </c>
      <c r="G255" s="89">
        <v>0</v>
      </c>
      <c r="H255" s="89">
        <v>0</v>
      </c>
      <c r="I255" s="89">
        <v>0</v>
      </c>
      <c r="J255" s="89">
        <v>0</v>
      </c>
      <c r="K255" s="90">
        <v>0</v>
      </c>
      <c r="L255" s="89">
        <v>0</v>
      </c>
      <c r="M255" s="89">
        <v>0</v>
      </c>
      <c r="N255" s="89">
        <v>0</v>
      </c>
      <c r="O255" s="89">
        <v>0</v>
      </c>
      <c r="P255" s="89">
        <v>0</v>
      </c>
      <c r="Q255" s="89">
        <v>0</v>
      </c>
      <c r="R255" s="89">
        <v>0</v>
      </c>
      <c r="S255" s="89">
        <v>0</v>
      </c>
      <c r="T255" s="89">
        <v>0</v>
      </c>
      <c r="U255" s="89">
        <v>0</v>
      </c>
      <c r="V255" s="89">
        <v>0</v>
      </c>
      <c r="W255" s="89">
        <v>0</v>
      </c>
      <c r="X255" s="89">
        <v>0</v>
      </c>
      <c r="Y255" s="89">
        <v>0</v>
      </c>
      <c r="Z255" s="89">
        <v>0</v>
      </c>
      <c r="AA255" s="89">
        <v>0</v>
      </c>
      <c r="AB255" s="88">
        <v>2020</v>
      </c>
    </row>
    <row r="256" spans="1:28" s="1" customFormat="1" ht="35.25" customHeight="1">
      <c r="A256" s="1">
        <v>1</v>
      </c>
      <c r="B256" s="38">
        <f>SUBTOTAL(103,$A$11:A256)</f>
        <v>241</v>
      </c>
      <c r="C256" s="82" t="s">
        <v>723</v>
      </c>
      <c r="D256" s="83">
        <f t="shared" si="11"/>
        <v>369249.28000000003</v>
      </c>
      <c r="E256" s="89">
        <v>0</v>
      </c>
      <c r="F256" s="89">
        <v>0</v>
      </c>
      <c r="G256" s="89">
        <v>0</v>
      </c>
      <c r="H256" s="89">
        <v>0</v>
      </c>
      <c r="I256" s="89">
        <v>0</v>
      </c>
      <c r="J256" s="89">
        <v>0</v>
      </c>
      <c r="K256" s="90">
        <v>0</v>
      </c>
      <c r="L256" s="89">
        <v>0</v>
      </c>
      <c r="M256" s="89">
        <v>369249.28000000003</v>
      </c>
      <c r="N256" s="89">
        <v>0</v>
      </c>
      <c r="O256" s="89">
        <v>0</v>
      </c>
      <c r="P256" s="89">
        <v>0</v>
      </c>
      <c r="Q256" s="89">
        <v>0</v>
      </c>
      <c r="R256" s="89">
        <v>0</v>
      </c>
      <c r="S256" s="89">
        <v>0</v>
      </c>
      <c r="T256" s="89">
        <v>0</v>
      </c>
      <c r="U256" s="89">
        <v>0</v>
      </c>
      <c r="V256" s="89">
        <v>0</v>
      </c>
      <c r="W256" s="89">
        <v>0</v>
      </c>
      <c r="X256" s="89">
        <v>0</v>
      </c>
      <c r="Y256" s="89">
        <v>0</v>
      </c>
      <c r="Z256" s="89">
        <v>0</v>
      </c>
      <c r="AA256" s="89">
        <v>0</v>
      </c>
      <c r="AB256" s="88">
        <v>2020</v>
      </c>
    </row>
    <row r="257" spans="1:28" s="1" customFormat="1" ht="35.25" customHeight="1">
      <c r="A257" s="1">
        <v>1</v>
      </c>
      <c r="B257" s="38">
        <f>SUBTOTAL(103,$A$11:A257)</f>
        <v>242</v>
      </c>
      <c r="C257" s="82" t="s">
        <v>724</v>
      </c>
      <c r="D257" s="83">
        <f t="shared" si="11"/>
        <v>1052055</v>
      </c>
      <c r="E257" s="89">
        <v>0</v>
      </c>
      <c r="F257" s="89">
        <v>0</v>
      </c>
      <c r="G257" s="89">
        <v>1052055</v>
      </c>
      <c r="H257" s="89">
        <v>0</v>
      </c>
      <c r="I257" s="89">
        <v>0</v>
      </c>
      <c r="J257" s="89">
        <v>0</v>
      </c>
      <c r="K257" s="90">
        <v>0</v>
      </c>
      <c r="L257" s="89">
        <v>0</v>
      </c>
      <c r="M257" s="89">
        <v>0</v>
      </c>
      <c r="N257" s="89">
        <v>0</v>
      </c>
      <c r="O257" s="89">
        <v>0</v>
      </c>
      <c r="P257" s="89">
        <v>0</v>
      </c>
      <c r="Q257" s="89">
        <v>0</v>
      </c>
      <c r="R257" s="89">
        <v>0</v>
      </c>
      <c r="S257" s="89">
        <v>0</v>
      </c>
      <c r="T257" s="89">
        <v>0</v>
      </c>
      <c r="U257" s="89">
        <v>0</v>
      </c>
      <c r="V257" s="89">
        <v>0</v>
      </c>
      <c r="W257" s="89">
        <v>0</v>
      </c>
      <c r="X257" s="89">
        <v>0</v>
      </c>
      <c r="Y257" s="89">
        <v>0</v>
      </c>
      <c r="Z257" s="89">
        <v>0</v>
      </c>
      <c r="AA257" s="89">
        <v>0</v>
      </c>
      <c r="AB257" s="88">
        <v>2020</v>
      </c>
    </row>
    <row r="258" spans="1:28" s="1" customFormat="1" ht="35.25" customHeight="1">
      <c r="A258" s="1">
        <v>1</v>
      </c>
      <c r="B258" s="38">
        <f>SUBTOTAL(103,$A$11:A258)</f>
        <v>243</v>
      </c>
      <c r="C258" s="82" t="s">
        <v>725</v>
      </c>
      <c r="D258" s="83">
        <f t="shared" si="11"/>
        <v>527399.5</v>
      </c>
      <c r="E258" s="89">
        <v>0</v>
      </c>
      <c r="F258" s="89">
        <v>0</v>
      </c>
      <c r="G258" s="89">
        <v>0</v>
      </c>
      <c r="H258" s="89">
        <v>0</v>
      </c>
      <c r="I258" s="89">
        <v>0</v>
      </c>
      <c r="J258" s="89">
        <v>0</v>
      </c>
      <c r="K258" s="90">
        <v>0</v>
      </c>
      <c r="L258" s="89">
        <v>0</v>
      </c>
      <c r="M258" s="89">
        <v>527399.5</v>
      </c>
      <c r="N258" s="89">
        <v>0</v>
      </c>
      <c r="O258" s="89">
        <v>0</v>
      </c>
      <c r="P258" s="89">
        <v>0</v>
      </c>
      <c r="Q258" s="89">
        <v>0</v>
      </c>
      <c r="R258" s="89">
        <v>0</v>
      </c>
      <c r="S258" s="89">
        <v>0</v>
      </c>
      <c r="T258" s="89">
        <v>0</v>
      </c>
      <c r="U258" s="89">
        <v>0</v>
      </c>
      <c r="V258" s="89">
        <v>0</v>
      </c>
      <c r="W258" s="89">
        <v>0</v>
      </c>
      <c r="X258" s="89">
        <v>0</v>
      </c>
      <c r="Y258" s="89">
        <v>0</v>
      </c>
      <c r="Z258" s="89">
        <v>0</v>
      </c>
      <c r="AA258" s="89">
        <v>0</v>
      </c>
      <c r="AB258" s="88">
        <v>2020</v>
      </c>
    </row>
    <row r="259" spans="1:28" s="1" customFormat="1" ht="35.25" customHeight="1">
      <c r="A259" s="1">
        <v>1</v>
      </c>
      <c r="B259" s="38">
        <f>SUBTOTAL(103,$A$11:A259)</f>
        <v>244</v>
      </c>
      <c r="C259" s="82" t="s">
        <v>726</v>
      </c>
      <c r="D259" s="83">
        <f t="shared" si="11"/>
        <v>687319</v>
      </c>
      <c r="E259" s="89">
        <v>0</v>
      </c>
      <c r="F259" s="89">
        <v>0</v>
      </c>
      <c r="G259" s="89">
        <v>0</v>
      </c>
      <c r="H259" s="89">
        <v>0</v>
      </c>
      <c r="I259" s="89">
        <v>0</v>
      </c>
      <c r="J259" s="89">
        <v>0</v>
      </c>
      <c r="K259" s="90">
        <v>0</v>
      </c>
      <c r="L259" s="89">
        <v>0</v>
      </c>
      <c r="M259" s="89">
        <v>687319</v>
      </c>
      <c r="N259" s="89">
        <v>0</v>
      </c>
      <c r="O259" s="89">
        <v>0</v>
      </c>
      <c r="P259" s="89">
        <v>0</v>
      </c>
      <c r="Q259" s="89">
        <v>0</v>
      </c>
      <c r="R259" s="89">
        <v>0</v>
      </c>
      <c r="S259" s="89">
        <v>0</v>
      </c>
      <c r="T259" s="89">
        <v>0</v>
      </c>
      <c r="U259" s="89">
        <v>0</v>
      </c>
      <c r="V259" s="89">
        <v>0</v>
      </c>
      <c r="W259" s="89">
        <v>0</v>
      </c>
      <c r="X259" s="89">
        <v>0</v>
      </c>
      <c r="Y259" s="89">
        <v>0</v>
      </c>
      <c r="Z259" s="89">
        <v>0</v>
      </c>
      <c r="AA259" s="89">
        <v>0</v>
      </c>
      <c r="AB259" s="88">
        <v>2020</v>
      </c>
    </row>
    <row r="260" spans="1:28" s="1" customFormat="1" ht="35.25" customHeight="1">
      <c r="A260" s="1">
        <v>1</v>
      </c>
      <c r="B260" s="38">
        <f>SUBTOTAL(103,$A$11:A260)</f>
        <v>245</v>
      </c>
      <c r="C260" s="82" t="s">
        <v>727</v>
      </c>
      <c r="D260" s="83">
        <f t="shared" si="11"/>
        <v>350000</v>
      </c>
      <c r="E260" s="89">
        <v>0</v>
      </c>
      <c r="F260" s="89">
        <v>0</v>
      </c>
      <c r="G260" s="89">
        <v>0</v>
      </c>
      <c r="H260" s="89">
        <v>0</v>
      </c>
      <c r="I260" s="89">
        <v>0</v>
      </c>
      <c r="J260" s="89">
        <v>0</v>
      </c>
      <c r="K260" s="90">
        <v>0</v>
      </c>
      <c r="L260" s="89">
        <v>0</v>
      </c>
      <c r="M260" s="89">
        <v>350000</v>
      </c>
      <c r="N260" s="89">
        <v>0</v>
      </c>
      <c r="O260" s="89">
        <v>0</v>
      </c>
      <c r="P260" s="89">
        <v>0</v>
      </c>
      <c r="Q260" s="89">
        <v>0</v>
      </c>
      <c r="R260" s="89">
        <v>0</v>
      </c>
      <c r="S260" s="89">
        <v>0</v>
      </c>
      <c r="T260" s="89">
        <v>0</v>
      </c>
      <c r="U260" s="89">
        <v>0</v>
      </c>
      <c r="V260" s="89">
        <v>0</v>
      </c>
      <c r="W260" s="89">
        <v>0</v>
      </c>
      <c r="X260" s="89">
        <v>0</v>
      </c>
      <c r="Y260" s="89">
        <v>0</v>
      </c>
      <c r="Z260" s="89">
        <v>0</v>
      </c>
      <c r="AA260" s="89">
        <v>0</v>
      </c>
      <c r="AB260" s="88">
        <v>2020</v>
      </c>
    </row>
    <row r="261" spans="1:28" s="1" customFormat="1" ht="35.25" customHeight="1">
      <c r="A261" s="1">
        <v>1</v>
      </c>
      <c r="B261" s="38">
        <f>SUBTOTAL(103,$A$11:A261)</f>
        <v>246</v>
      </c>
      <c r="C261" s="82" t="s">
        <v>728</v>
      </c>
      <c r="D261" s="83">
        <f t="shared" si="11"/>
        <v>571302</v>
      </c>
      <c r="E261" s="89">
        <v>0</v>
      </c>
      <c r="F261" s="89">
        <v>0</v>
      </c>
      <c r="G261" s="89">
        <v>0</v>
      </c>
      <c r="H261" s="89">
        <v>0</v>
      </c>
      <c r="I261" s="89">
        <v>0</v>
      </c>
      <c r="J261" s="89">
        <v>0</v>
      </c>
      <c r="K261" s="90">
        <v>0</v>
      </c>
      <c r="L261" s="89">
        <v>0</v>
      </c>
      <c r="M261" s="89">
        <v>0</v>
      </c>
      <c r="N261" s="89">
        <v>0</v>
      </c>
      <c r="O261" s="89">
        <v>571302</v>
      </c>
      <c r="P261" s="89">
        <v>0</v>
      </c>
      <c r="Q261" s="89">
        <v>0</v>
      </c>
      <c r="R261" s="89">
        <v>0</v>
      </c>
      <c r="S261" s="89">
        <v>0</v>
      </c>
      <c r="T261" s="89">
        <v>0</v>
      </c>
      <c r="U261" s="89">
        <v>0</v>
      </c>
      <c r="V261" s="89">
        <v>0</v>
      </c>
      <c r="W261" s="89">
        <v>0</v>
      </c>
      <c r="X261" s="89">
        <v>0</v>
      </c>
      <c r="Y261" s="89">
        <v>0</v>
      </c>
      <c r="Z261" s="89">
        <v>0</v>
      </c>
      <c r="AA261" s="89">
        <v>0</v>
      </c>
      <c r="AB261" s="88">
        <v>2020</v>
      </c>
    </row>
    <row r="262" spans="1:28" s="1" customFormat="1" ht="35.25" customHeight="1">
      <c r="A262" s="1">
        <v>1</v>
      </c>
      <c r="B262" s="38">
        <f>SUBTOTAL(103,$A$11:A262)</f>
        <v>247</v>
      </c>
      <c r="C262" s="82" t="s">
        <v>729</v>
      </c>
      <c r="D262" s="83">
        <f t="shared" si="11"/>
        <v>283242</v>
      </c>
      <c r="E262" s="89">
        <v>0</v>
      </c>
      <c r="F262" s="89">
        <v>0</v>
      </c>
      <c r="G262" s="89">
        <v>0</v>
      </c>
      <c r="H262" s="89">
        <v>0</v>
      </c>
      <c r="I262" s="89">
        <v>0</v>
      </c>
      <c r="J262" s="89">
        <v>0</v>
      </c>
      <c r="K262" s="90">
        <v>0</v>
      </c>
      <c r="L262" s="89">
        <v>0</v>
      </c>
      <c r="M262" s="89">
        <v>283242</v>
      </c>
      <c r="N262" s="89">
        <v>0</v>
      </c>
      <c r="O262" s="89">
        <v>0</v>
      </c>
      <c r="P262" s="89">
        <v>0</v>
      </c>
      <c r="Q262" s="89">
        <v>0</v>
      </c>
      <c r="R262" s="89">
        <v>0</v>
      </c>
      <c r="S262" s="89">
        <v>0</v>
      </c>
      <c r="T262" s="89">
        <v>0</v>
      </c>
      <c r="U262" s="89">
        <v>0</v>
      </c>
      <c r="V262" s="89">
        <v>0</v>
      </c>
      <c r="W262" s="89">
        <v>0</v>
      </c>
      <c r="X262" s="89">
        <v>0</v>
      </c>
      <c r="Y262" s="89">
        <v>0</v>
      </c>
      <c r="Z262" s="89">
        <v>0</v>
      </c>
      <c r="AA262" s="89">
        <v>0</v>
      </c>
      <c r="AB262" s="88">
        <v>2020</v>
      </c>
    </row>
    <row r="263" spans="1:28" s="1" customFormat="1" ht="35.25" customHeight="1">
      <c r="A263" s="1">
        <v>1</v>
      </c>
      <c r="B263" s="38">
        <f>SUBTOTAL(103,$A$11:A263)</f>
        <v>248</v>
      </c>
      <c r="C263" s="82" t="s">
        <v>730</v>
      </c>
      <c r="D263" s="83">
        <f t="shared" si="11"/>
        <v>210000</v>
      </c>
      <c r="E263" s="89">
        <v>0</v>
      </c>
      <c r="F263" s="89">
        <v>0</v>
      </c>
      <c r="G263" s="89">
        <v>0</v>
      </c>
      <c r="H263" s="89">
        <v>0</v>
      </c>
      <c r="I263" s="89">
        <v>0</v>
      </c>
      <c r="J263" s="89">
        <v>0</v>
      </c>
      <c r="K263" s="90">
        <v>0</v>
      </c>
      <c r="L263" s="89">
        <v>0</v>
      </c>
      <c r="M263" s="89">
        <v>210000</v>
      </c>
      <c r="N263" s="89">
        <v>0</v>
      </c>
      <c r="O263" s="89">
        <v>0</v>
      </c>
      <c r="P263" s="89">
        <v>0</v>
      </c>
      <c r="Q263" s="89">
        <v>0</v>
      </c>
      <c r="R263" s="89">
        <v>0</v>
      </c>
      <c r="S263" s="89">
        <v>0</v>
      </c>
      <c r="T263" s="89">
        <v>0</v>
      </c>
      <c r="U263" s="89">
        <v>0</v>
      </c>
      <c r="V263" s="89">
        <v>0</v>
      </c>
      <c r="W263" s="89">
        <v>0</v>
      </c>
      <c r="X263" s="89">
        <v>0</v>
      </c>
      <c r="Y263" s="89">
        <v>0</v>
      </c>
      <c r="Z263" s="89">
        <v>0</v>
      </c>
      <c r="AA263" s="89">
        <v>0</v>
      </c>
      <c r="AB263" s="88">
        <v>2020</v>
      </c>
    </row>
    <row r="264" spans="1:28" s="1" customFormat="1" ht="35.25" customHeight="1">
      <c r="A264" s="1">
        <v>1</v>
      </c>
      <c r="B264" s="38">
        <f>SUBTOTAL(103,$A$11:A264)</f>
        <v>249</v>
      </c>
      <c r="C264" s="82" t="s">
        <v>731</v>
      </c>
      <c r="D264" s="83">
        <f t="shared" si="11"/>
        <v>482863</v>
      </c>
      <c r="E264" s="89">
        <v>0</v>
      </c>
      <c r="F264" s="89">
        <v>0</v>
      </c>
      <c r="G264" s="89">
        <v>482863</v>
      </c>
      <c r="H264" s="89">
        <v>0</v>
      </c>
      <c r="I264" s="89">
        <v>0</v>
      </c>
      <c r="J264" s="89">
        <v>0</v>
      </c>
      <c r="K264" s="90">
        <v>0</v>
      </c>
      <c r="L264" s="89">
        <v>0</v>
      </c>
      <c r="M264" s="89">
        <v>0</v>
      </c>
      <c r="N264" s="89">
        <v>0</v>
      </c>
      <c r="O264" s="89">
        <v>0</v>
      </c>
      <c r="P264" s="89">
        <v>0</v>
      </c>
      <c r="Q264" s="89">
        <v>0</v>
      </c>
      <c r="R264" s="89">
        <v>0</v>
      </c>
      <c r="S264" s="89">
        <v>0</v>
      </c>
      <c r="T264" s="89">
        <v>0</v>
      </c>
      <c r="U264" s="89">
        <v>0</v>
      </c>
      <c r="V264" s="89">
        <v>0</v>
      </c>
      <c r="W264" s="89">
        <v>0</v>
      </c>
      <c r="X264" s="89">
        <v>0</v>
      </c>
      <c r="Y264" s="89">
        <v>0</v>
      </c>
      <c r="Z264" s="89">
        <v>0</v>
      </c>
      <c r="AA264" s="89">
        <v>0</v>
      </c>
      <c r="AB264" s="88">
        <v>2020</v>
      </c>
    </row>
    <row r="265" spans="1:28" s="1" customFormat="1" ht="35.25" customHeight="1">
      <c r="A265" s="1">
        <v>1</v>
      </c>
      <c r="B265" s="38">
        <f>SUBTOTAL(103,$A$11:A265)</f>
        <v>250</v>
      </c>
      <c r="C265" s="82" t="s">
        <v>732</v>
      </c>
      <c r="D265" s="83">
        <f t="shared" si="11"/>
        <v>71221.2</v>
      </c>
      <c r="E265" s="89">
        <v>0</v>
      </c>
      <c r="F265" s="89">
        <v>0</v>
      </c>
      <c r="G265" s="89">
        <v>0</v>
      </c>
      <c r="H265" s="89">
        <v>0</v>
      </c>
      <c r="I265" s="89">
        <v>0</v>
      </c>
      <c r="J265" s="89">
        <v>0</v>
      </c>
      <c r="K265" s="90">
        <v>0</v>
      </c>
      <c r="L265" s="89">
        <v>0</v>
      </c>
      <c r="M265" s="89">
        <v>71221.2</v>
      </c>
      <c r="N265" s="89">
        <v>0</v>
      </c>
      <c r="O265" s="89">
        <v>0</v>
      </c>
      <c r="P265" s="89">
        <v>0</v>
      </c>
      <c r="Q265" s="89">
        <v>0</v>
      </c>
      <c r="R265" s="89">
        <v>0</v>
      </c>
      <c r="S265" s="89">
        <v>0</v>
      </c>
      <c r="T265" s="89">
        <v>0</v>
      </c>
      <c r="U265" s="89">
        <v>0</v>
      </c>
      <c r="V265" s="89">
        <v>0</v>
      </c>
      <c r="W265" s="89">
        <v>0</v>
      </c>
      <c r="X265" s="89">
        <v>0</v>
      </c>
      <c r="Y265" s="89">
        <v>0</v>
      </c>
      <c r="Z265" s="89">
        <v>0</v>
      </c>
      <c r="AA265" s="89">
        <v>0</v>
      </c>
      <c r="AB265" s="88">
        <v>2020</v>
      </c>
    </row>
    <row r="266" spans="1:28" s="1" customFormat="1" ht="35.25" customHeight="1">
      <c r="A266" s="1">
        <v>1</v>
      </c>
      <c r="B266" s="38">
        <f>SUBTOTAL(103,$A$11:A266)</f>
        <v>251</v>
      </c>
      <c r="C266" s="82" t="s">
        <v>733</v>
      </c>
      <c r="D266" s="83">
        <f t="shared" si="11"/>
        <v>265768</v>
      </c>
      <c r="E266" s="89">
        <v>0</v>
      </c>
      <c r="F266" s="89">
        <v>0</v>
      </c>
      <c r="G266" s="89">
        <v>265768</v>
      </c>
      <c r="H266" s="89">
        <v>0</v>
      </c>
      <c r="I266" s="89">
        <v>0</v>
      </c>
      <c r="J266" s="89">
        <v>0</v>
      </c>
      <c r="K266" s="90">
        <v>0</v>
      </c>
      <c r="L266" s="89">
        <v>0</v>
      </c>
      <c r="M266" s="89">
        <v>0</v>
      </c>
      <c r="N266" s="89">
        <v>0</v>
      </c>
      <c r="O266" s="89">
        <v>0</v>
      </c>
      <c r="P266" s="89">
        <v>0</v>
      </c>
      <c r="Q266" s="89">
        <v>0</v>
      </c>
      <c r="R266" s="89">
        <v>0</v>
      </c>
      <c r="S266" s="89">
        <v>0</v>
      </c>
      <c r="T266" s="89">
        <v>0</v>
      </c>
      <c r="U266" s="89">
        <v>0</v>
      </c>
      <c r="V266" s="89">
        <v>0</v>
      </c>
      <c r="W266" s="89">
        <v>0</v>
      </c>
      <c r="X266" s="89">
        <v>0</v>
      </c>
      <c r="Y266" s="89">
        <v>0</v>
      </c>
      <c r="Z266" s="89">
        <v>0</v>
      </c>
      <c r="AA266" s="89">
        <v>0</v>
      </c>
      <c r="AB266" s="88">
        <v>2020</v>
      </c>
    </row>
    <row r="267" spans="1:28" s="1" customFormat="1" ht="35.25" customHeight="1">
      <c r="A267" s="1">
        <v>1</v>
      </c>
      <c r="B267" s="38">
        <f>SUBTOTAL(103,$A$11:A267)</f>
        <v>252</v>
      </c>
      <c r="C267" s="82" t="s">
        <v>734</v>
      </c>
      <c r="D267" s="83">
        <f t="shared" si="11"/>
        <v>223076</v>
      </c>
      <c r="E267" s="89">
        <v>0</v>
      </c>
      <c r="F267" s="89">
        <v>0</v>
      </c>
      <c r="G267" s="89">
        <v>0</v>
      </c>
      <c r="H267" s="89">
        <v>13076</v>
      </c>
      <c r="I267" s="89">
        <v>0</v>
      </c>
      <c r="J267" s="89">
        <v>0</v>
      </c>
      <c r="K267" s="90">
        <v>0</v>
      </c>
      <c r="L267" s="89">
        <v>0</v>
      </c>
      <c r="M267" s="89">
        <v>0</v>
      </c>
      <c r="N267" s="89">
        <v>0</v>
      </c>
      <c r="O267" s="89">
        <v>210000</v>
      </c>
      <c r="P267" s="89">
        <v>0</v>
      </c>
      <c r="Q267" s="89">
        <v>0</v>
      </c>
      <c r="R267" s="89">
        <v>0</v>
      </c>
      <c r="S267" s="89">
        <v>0</v>
      </c>
      <c r="T267" s="89">
        <v>0</v>
      </c>
      <c r="U267" s="89">
        <v>0</v>
      </c>
      <c r="V267" s="89">
        <v>0</v>
      </c>
      <c r="W267" s="89">
        <v>0</v>
      </c>
      <c r="X267" s="89">
        <v>0</v>
      </c>
      <c r="Y267" s="89">
        <v>0</v>
      </c>
      <c r="Z267" s="89">
        <v>0</v>
      </c>
      <c r="AA267" s="89">
        <v>0</v>
      </c>
      <c r="AB267" s="88">
        <v>2020</v>
      </c>
    </row>
    <row r="268" spans="1:28" s="1" customFormat="1" ht="35.25" customHeight="1">
      <c r="A268" s="1">
        <v>1</v>
      </c>
      <c r="B268" s="38">
        <f>SUBTOTAL(103,$A$11:A268)</f>
        <v>253</v>
      </c>
      <c r="C268" s="82" t="s">
        <v>735</v>
      </c>
      <c r="D268" s="83">
        <f t="shared" si="11"/>
        <v>682931</v>
      </c>
      <c r="E268" s="89">
        <v>0</v>
      </c>
      <c r="F268" s="89">
        <v>0</v>
      </c>
      <c r="G268" s="89">
        <v>0</v>
      </c>
      <c r="H268" s="89">
        <v>0</v>
      </c>
      <c r="I268" s="89">
        <v>0</v>
      </c>
      <c r="J268" s="89">
        <v>0</v>
      </c>
      <c r="K268" s="90">
        <v>0</v>
      </c>
      <c r="L268" s="89">
        <v>0</v>
      </c>
      <c r="M268" s="89">
        <v>0</v>
      </c>
      <c r="N268" s="89">
        <v>0</v>
      </c>
      <c r="O268" s="89">
        <v>682931</v>
      </c>
      <c r="P268" s="89">
        <v>0</v>
      </c>
      <c r="Q268" s="89">
        <v>0</v>
      </c>
      <c r="R268" s="89">
        <v>0</v>
      </c>
      <c r="S268" s="89">
        <v>0</v>
      </c>
      <c r="T268" s="89">
        <v>0</v>
      </c>
      <c r="U268" s="89">
        <v>0</v>
      </c>
      <c r="V268" s="89">
        <v>0</v>
      </c>
      <c r="W268" s="89">
        <v>0</v>
      </c>
      <c r="X268" s="89">
        <v>0</v>
      </c>
      <c r="Y268" s="89">
        <v>0</v>
      </c>
      <c r="Z268" s="89">
        <v>0</v>
      </c>
      <c r="AA268" s="89">
        <v>0</v>
      </c>
      <c r="AB268" s="88">
        <v>2020</v>
      </c>
    </row>
    <row r="269" spans="1:28" s="1" customFormat="1" ht="35.25" customHeight="1">
      <c r="A269" s="1">
        <v>1</v>
      </c>
      <c r="B269" s="38">
        <f>SUBTOTAL(103,$A$11:A269)</f>
        <v>254</v>
      </c>
      <c r="C269" s="82" t="s">
        <v>736</v>
      </c>
      <c r="D269" s="83">
        <f t="shared" si="11"/>
        <v>67129</v>
      </c>
      <c r="E269" s="89">
        <v>0</v>
      </c>
      <c r="F269" s="89">
        <v>0</v>
      </c>
      <c r="G269" s="89">
        <v>0</v>
      </c>
      <c r="H269" s="89">
        <v>0</v>
      </c>
      <c r="I269" s="89">
        <v>0</v>
      </c>
      <c r="J269" s="89">
        <v>0</v>
      </c>
      <c r="K269" s="90">
        <v>0</v>
      </c>
      <c r="L269" s="89">
        <v>0</v>
      </c>
      <c r="M269" s="89">
        <v>0</v>
      </c>
      <c r="N269" s="89">
        <v>0</v>
      </c>
      <c r="O269" s="89">
        <v>67129</v>
      </c>
      <c r="P269" s="89">
        <v>0</v>
      </c>
      <c r="Q269" s="89">
        <v>0</v>
      </c>
      <c r="R269" s="89">
        <v>0</v>
      </c>
      <c r="S269" s="89">
        <v>0</v>
      </c>
      <c r="T269" s="89">
        <v>0</v>
      </c>
      <c r="U269" s="89">
        <v>0</v>
      </c>
      <c r="V269" s="89">
        <v>0</v>
      </c>
      <c r="W269" s="89">
        <v>0</v>
      </c>
      <c r="X269" s="89">
        <v>0</v>
      </c>
      <c r="Y269" s="89">
        <v>0</v>
      </c>
      <c r="Z269" s="89">
        <v>0</v>
      </c>
      <c r="AA269" s="89">
        <v>0</v>
      </c>
      <c r="AB269" s="88">
        <v>2020</v>
      </c>
    </row>
    <row r="270" spans="1:28" s="1" customFormat="1" ht="35.25" customHeight="1">
      <c r="A270" s="1">
        <v>1</v>
      </c>
      <c r="B270" s="38">
        <f>SUBTOTAL(103,$A$11:A270)</f>
        <v>255</v>
      </c>
      <c r="C270" s="82" t="s">
        <v>737</v>
      </c>
      <c r="D270" s="83">
        <f t="shared" si="11"/>
        <v>304016</v>
      </c>
      <c r="E270" s="89">
        <v>0</v>
      </c>
      <c r="F270" s="89">
        <v>0</v>
      </c>
      <c r="G270" s="89">
        <v>0</v>
      </c>
      <c r="H270" s="89">
        <v>0</v>
      </c>
      <c r="I270" s="89">
        <v>0</v>
      </c>
      <c r="J270" s="89">
        <v>0</v>
      </c>
      <c r="K270" s="90">
        <v>0</v>
      </c>
      <c r="L270" s="89">
        <v>0</v>
      </c>
      <c r="M270" s="89">
        <v>304016</v>
      </c>
      <c r="N270" s="89">
        <v>0</v>
      </c>
      <c r="O270" s="89">
        <v>0</v>
      </c>
      <c r="P270" s="89">
        <v>0</v>
      </c>
      <c r="Q270" s="89">
        <v>0</v>
      </c>
      <c r="R270" s="89">
        <v>0</v>
      </c>
      <c r="S270" s="89">
        <v>0</v>
      </c>
      <c r="T270" s="89">
        <v>0</v>
      </c>
      <c r="U270" s="89">
        <v>0</v>
      </c>
      <c r="V270" s="89">
        <v>0</v>
      </c>
      <c r="W270" s="89">
        <v>0</v>
      </c>
      <c r="X270" s="89">
        <v>0</v>
      </c>
      <c r="Y270" s="89">
        <v>0</v>
      </c>
      <c r="Z270" s="89">
        <v>0</v>
      </c>
      <c r="AA270" s="89">
        <v>0</v>
      </c>
      <c r="AB270" s="88">
        <v>2020</v>
      </c>
    </row>
    <row r="271" spans="1:28" s="1" customFormat="1" ht="35.25" customHeight="1">
      <c r="A271" s="1">
        <v>1</v>
      </c>
      <c r="B271" s="38">
        <f>SUBTOTAL(103,$A$11:A271)</f>
        <v>256</v>
      </c>
      <c r="C271" s="82" t="s">
        <v>738</v>
      </c>
      <c r="D271" s="83">
        <f t="shared" si="11"/>
        <v>155485</v>
      </c>
      <c r="E271" s="89">
        <v>0</v>
      </c>
      <c r="F271" s="89">
        <v>0</v>
      </c>
      <c r="G271" s="89">
        <v>0</v>
      </c>
      <c r="H271" s="89">
        <v>0</v>
      </c>
      <c r="I271" s="89">
        <v>0</v>
      </c>
      <c r="J271" s="89">
        <v>0</v>
      </c>
      <c r="K271" s="90">
        <v>0</v>
      </c>
      <c r="L271" s="89">
        <v>0</v>
      </c>
      <c r="M271" s="89">
        <v>0</v>
      </c>
      <c r="N271" s="89">
        <v>0</v>
      </c>
      <c r="O271" s="89">
        <v>155485</v>
      </c>
      <c r="P271" s="89">
        <v>0</v>
      </c>
      <c r="Q271" s="89">
        <v>0</v>
      </c>
      <c r="R271" s="89">
        <v>0</v>
      </c>
      <c r="S271" s="89">
        <v>0</v>
      </c>
      <c r="T271" s="89">
        <v>0</v>
      </c>
      <c r="U271" s="89">
        <v>0</v>
      </c>
      <c r="V271" s="89">
        <v>0</v>
      </c>
      <c r="W271" s="89">
        <v>0</v>
      </c>
      <c r="X271" s="89">
        <v>0</v>
      </c>
      <c r="Y271" s="89">
        <v>0</v>
      </c>
      <c r="Z271" s="89">
        <v>0</v>
      </c>
      <c r="AA271" s="89">
        <v>0</v>
      </c>
      <c r="AB271" s="88">
        <v>2020</v>
      </c>
    </row>
    <row r="272" spans="1:28" s="1" customFormat="1" ht="35.25" customHeight="1">
      <c r="A272" s="1">
        <v>1</v>
      </c>
      <c r="B272" s="38">
        <f>SUBTOTAL(103,$A$11:A272)</f>
        <v>257</v>
      </c>
      <c r="C272" s="82" t="s">
        <v>739</v>
      </c>
      <c r="D272" s="83">
        <f t="shared" si="11"/>
        <v>690218</v>
      </c>
      <c r="E272" s="89">
        <v>0</v>
      </c>
      <c r="F272" s="89">
        <v>0</v>
      </c>
      <c r="G272" s="89">
        <v>0</v>
      </c>
      <c r="H272" s="89">
        <v>0</v>
      </c>
      <c r="I272" s="89">
        <v>0</v>
      </c>
      <c r="J272" s="89">
        <v>0</v>
      </c>
      <c r="K272" s="90">
        <v>0</v>
      </c>
      <c r="L272" s="89">
        <v>0</v>
      </c>
      <c r="M272" s="89">
        <v>690218</v>
      </c>
      <c r="N272" s="89">
        <v>0</v>
      </c>
      <c r="O272" s="89">
        <v>0</v>
      </c>
      <c r="P272" s="89">
        <v>0</v>
      </c>
      <c r="Q272" s="89">
        <v>0</v>
      </c>
      <c r="R272" s="89">
        <v>0</v>
      </c>
      <c r="S272" s="89">
        <v>0</v>
      </c>
      <c r="T272" s="89">
        <v>0</v>
      </c>
      <c r="U272" s="89">
        <v>0</v>
      </c>
      <c r="V272" s="89">
        <v>0</v>
      </c>
      <c r="W272" s="89">
        <v>0</v>
      </c>
      <c r="X272" s="89">
        <v>0</v>
      </c>
      <c r="Y272" s="89">
        <v>0</v>
      </c>
      <c r="Z272" s="89">
        <v>0</v>
      </c>
      <c r="AA272" s="89">
        <v>0</v>
      </c>
      <c r="AB272" s="88">
        <v>2020</v>
      </c>
    </row>
    <row r="273" spans="1:28" s="1" customFormat="1" ht="35.25" customHeight="1">
      <c r="A273" s="1">
        <v>1</v>
      </c>
      <c r="B273" s="38">
        <f>SUBTOTAL(103,$A$11:A273)</f>
        <v>258</v>
      </c>
      <c r="C273" s="82" t="s">
        <v>740</v>
      </c>
      <c r="D273" s="83">
        <f t="shared" si="11"/>
        <v>714020</v>
      </c>
      <c r="E273" s="89">
        <v>0</v>
      </c>
      <c r="F273" s="89">
        <v>0</v>
      </c>
      <c r="G273" s="89">
        <v>0</v>
      </c>
      <c r="H273" s="89">
        <v>0</v>
      </c>
      <c r="I273" s="89">
        <v>0</v>
      </c>
      <c r="J273" s="89">
        <v>0</v>
      </c>
      <c r="K273" s="90">
        <v>0</v>
      </c>
      <c r="L273" s="89">
        <v>0</v>
      </c>
      <c r="M273" s="89">
        <v>714020</v>
      </c>
      <c r="N273" s="89">
        <v>0</v>
      </c>
      <c r="O273" s="89">
        <v>0</v>
      </c>
      <c r="P273" s="89">
        <v>0</v>
      </c>
      <c r="Q273" s="89">
        <v>0</v>
      </c>
      <c r="R273" s="89">
        <v>0</v>
      </c>
      <c r="S273" s="89">
        <v>0</v>
      </c>
      <c r="T273" s="89">
        <v>0</v>
      </c>
      <c r="U273" s="89">
        <v>0</v>
      </c>
      <c r="V273" s="89">
        <v>0</v>
      </c>
      <c r="W273" s="89">
        <v>0</v>
      </c>
      <c r="X273" s="89">
        <v>0</v>
      </c>
      <c r="Y273" s="89">
        <v>0</v>
      </c>
      <c r="Z273" s="89">
        <v>0</v>
      </c>
      <c r="AA273" s="89">
        <v>0</v>
      </c>
      <c r="AB273" s="88">
        <v>2020</v>
      </c>
    </row>
    <row r="274" spans="1:28" s="1" customFormat="1" ht="35.25" customHeight="1">
      <c r="A274" s="1">
        <v>1</v>
      </c>
      <c r="B274" s="38">
        <f>SUBTOTAL(103,$A$11:A274)</f>
        <v>259</v>
      </c>
      <c r="C274" s="82" t="s">
        <v>741</v>
      </c>
      <c r="D274" s="83">
        <f t="shared" si="11"/>
        <v>131566</v>
      </c>
      <c r="E274" s="89">
        <v>0</v>
      </c>
      <c r="F274" s="89">
        <v>0</v>
      </c>
      <c r="G274" s="89">
        <v>0</v>
      </c>
      <c r="H274" s="89">
        <v>131566</v>
      </c>
      <c r="I274" s="89">
        <v>0</v>
      </c>
      <c r="J274" s="89">
        <v>0</v>
      </c>
      <c r="K274" s="90">
        <v>0</v>
      </c>
      <c r="L274" s="89">
        <v>0</v>
      </c>
      <c r="M274" s="89">
        <v>0</v>
      </c>
      <c r="N274" s="89">
        <v>0</v>
      </c>
      <c r="O274" s="89">
        <v>0</v>
      </c>
      <c r="P274" s="89">
        <v>0</v>
      </c>
      <c r="Q274" s="89">
        <v>0</v>
      </c>
      <c r="R274" s="89">
        <v>0</v>
      </c>
      <c r="S274" s="89">
        <v>0</v>
      </c>
      <c r="T274" s="89">
        <v>0</v>
      </c>
      <c r="U274" s="89">
        <v>0</v>
      </c>
      <c r="V274" s="89">
        <v>0</v>
      </c>
      <c r="W274" s="89">
        <v>0</v>
      </c>
      <c r="X274" s="89">
        <v>0</v>
      </c>
      <c r="Y274" s="89">
        <v>0</v>
      </c>
      <c r="Z274" s="89">
        <v>0</v>
      </c>
      <c r="AA274" s="89">
        <v>0</v>
      </c>
      <c r="AB274" s="88">
        <v>2020</v>
      </c>
    </row>
    <row r="275" spans="1:28" s="1" customFormat="1" ht="35.25" customHeight="1">
      <c r="A275" s="1">
        <v>1</v>
      </c>
      <c r="B275" s="38">
        <f>SUBTOTAL(103,$A$11:A275)</f>
        <v>260</v>
      </c>
      <c r="C275" s="82" t="s">
        <v>742</v>
      </c>
      <c r="D275" s="83">
        <f t="shared" si="11"/>
        <v>1143898</v>
      </c>
      <c r="E275" s="89">
        <v>0</v>
      </c>
      <c r="F275" s="89">
        <v>0</v>
      </c>
      <c r="G275" s="89">
        <v>0</v>
      </c>
      <c r="H275" s="89">
        <v>0</v>
      </c>
      <c r="I275" s="89">
        <v>0</v>
      </c>
      <c r="J275" s="89">
        <v>0</v>
      </c>
      <c r="K275" s="90">
        <v>0</v>
      </c>
      <c r="L275" s="89">
        <v>0</v>
      </c>
      <c r="M275" s="89">
        <v>0</v>
      </c>
      <c r="N275" s="89">
        <v>0</v>
      </c>
      <c r="O275" s="89">
        <v>1143898</v>
      </c>
      <c r="P275" s="89">
        <v>0</v>
      </c>
      <c r="Q275" s="89">
        <v>0</v>
      </c>
      <c r="R275" s="89">
        <v>0</v>
      </c>
      <c r="S275" s="89">
        <v>0</v>
      </c>
      <c r="T275" s="89">
        <v>0</v>
      </c>
      <c r="U275" s="89">
        <v>0</v>
      </c>
      <c r="V275" s="89">
        <v>0</v>
      </c>
      <c r="W275" s="89">
        <v>0</v>
      </c>
      <c r="X275" s="89">
        <v>0</v>
      </c>
      <c r="Y275" s="89">
        <v>0</v>
      </c>
      <c r="Z275" s="89">
        <v>0</v>
      </c>
      <c r="AA275" s="89">
        <v>0</v>
      </c>
      <c r="AB275" s="88">
        <v>2020</v>
      </c>
    </row>
    <row r="276" spans="1:28" s="1" customFormat="1" ht="35.25" customHeight="1">
      <c r="A276" s="1">
        <v>1</v>
      </c>
      <c r="B276" s="38">
        <f>SUBTOTAL(103,$A$11:A276)</f>
        <v>261</v>
      </c>
      <c r="C276" s="82" t="s">
        <v>743</v>
      </c>
      <c r="D276" s="83">
        <f t="shared" si="11"/>
        <v>295760</v>
      </c>
      <c r="E276" s="89">
        <v>0</v>
      </c>
      <c r="F276" s="89">
        <v>0</v>
      </c>
      <c r="G276" s="89">
        <v>0</v>
      </c>
      <c r="H276" s="89">
        <v>0</v>
      </c>
      <c r="I276" s="89">
        <v>0</v>
      </c>
      <c r="J276" s="89">
        <v>0</v>
      </c>
      <c r="K276" s="90">
        <v>0</v>
      </c>
      <c r="L276" s="89">
        <v>0</v>
      </c>
      <c r="M276" s="89">
        <v>0</v>
      </c>
      <c r="N276" s="89">
        <v>0</v>
      </c>
      <c r="O276" s="89">
        <v>295760</v>
      </c>
      <c r="P276" s="89">
        <v>0</v>
      </c>
      <c r="Q276" s="89">
        <v>0</v>
      </c>
      <c r="R276" s="89">
        <v>0</v>
      </c>
      <c r="S276" s="89">
        <v>0</v>
      </c>
      <c r="T276" s="89">
        <v>0</v>
      </c>
      <c r="U276" s="89">
        <v>0</v>
      </c>
      <c r="V276" s="89">
        <v>0</v>
      </c>
      <c r="W276" s="89">
        <v>0</v>
      </c>
      <c r="X276" s="89">
        <v>0</v>
      </c>
      <c r="Y276" s="89">
        <v>0</v>
      </c>
      <c r="Z276" s="89">
        <v>0</v>
      </c>
      <c r="AA276" s="89">
        <v>0</v>
      </c>
      <c r="AB276" s="88">
        <v>2020</v>
      </c>
    </row>
    <row r="277" spans="1:28" s="1" customFormat="1" ht="35.25" customHeight="1">
      <c r="A277" s="1">
        <v>1</v>
      </c>
      <c r="B277" s="38">
        <f>SUBTOTAL(103,$A$11:A277)</f>
        <v>262</v>
      </c>
      <c r="C277" s="82" t="s">
        <v>744</v>
      </c>
      <c r="D277" s="83">
        <f t="shared" si="11"/>
        <v>299644</v>
      </c>
      <c r="E277" s="89">
        <v>0</v>
      </c>
      <c r="F277" s="89">
        <v>0</v>
      </c>
      <c r="G277" s="89">
        <v>0</v>
      </c>
      <c r="H277" s="89">
        <v>0</v>
      </c>
      <c r="I277" s="89">
        <v>0</v>
      </c>
      <c r="J277" s="89">
        <v>0</v>
      </c>
      <c r="K277" s="90">
        <v>0</v>
      </c>
      <c r="L277" s="89">
        <v>0</v>
      </c>
      <c r="M277" s="89">
        <v>299644</v>
      </c>
      <c r="N277" s="89">
        <v>0</v>
      </c>
      <c r="O277" s="89">
        <v>0</v>
      </c>
      <c r="P277" s="89">
        <v>0</v>
      </c>
      <c r="Q277" s="89">
        <v>0</v>
      </c>
      <c r="R277" s="89">
        <v>0</v>
      </c>
      <c r="S277" s="89">
        <v>0</v>
      </c>
      <c r="T277" s="89">
        <v>0</v>
      </c>
      <c r="U277" s="89">
        <v>0</v>
      </c>
      <c r="V277" s="89">
        <v>0</v>
      </c>
      <c r="W277" s="89">
        <v>0</v>
      </c>
      <c r="X277" s="89">
        <v>0</v>
      </c>
      <c r="Y277" s="89">
        <v>0</v>
      </c>
      <c r="Z277" s="89">
        <v>0</v>
      </c>
      <c r="AA277" s="89">
        <v>0</v>
      </c>
      <c r="AB277" s="88">
        <v>2020</v>
      </c>
    </row>
    <row r="278" spans="1:28" s="1" customFormat="1" ht="35.25" customHeight="1">
      <c r="A278" s="1">
        <v>1</v>
      </c>
      <c r="B278" s="38">
        <f>SUBTOTAL(103,$A$11:A278)</f>
        <v>263</v>
      </c>
      <c r="C278" s="82" t="s">
        <v>745</v>
      </c>
      <c r="D278" s="83">
        <f t="shared" si="11"/>
        <v>169491</v>
      </c>
      <c r="E278" s="89">
        <v>0</v>
      </c>
      <c r="F278" s="89">
        <v>0</v>
      </c>
      <c r="G278" s="89">
        <v>0</v>
      </c>
      <c r="H278" s="89">
        <v>0</v>
      </c>
      <c r="I278" s="89">
        <v>0</v>
      </c>
      <c r="J278" s="89">
        <v>0</v>
      </c>
      <c r="K278" s="90">
        <v>0</v>
      </c>
      <c r="L278" s="89">
        <v>0</v>
      </c>
      <c r="M278" s="89">
        <v>169491</v>
      </c>
      <c r="N278" s="89">
        <v>0</v>
      </c>
      <c r="O278" s="89">
        <v>0</v>
      </c>
      <c r="P278" s="89">
        <v>0</v>
      </c>
      <c r="Q278" s="89">
        <v>0</v>
      </c>
      <c r="R278" s="89">
        <v>0</v>
      </c>
      <c r="S278" s="89">
        <v>0</v>
      </c>
      <c r="T278" s="89">
        <v>0</v>
      </c>
      <c r="U278" s="89">
        <v>0</v>
      </c>
      <c r="V278" s="89">
        <v>0</v>
      </c>
      <c r="W278" s="89">
        <v>0</v>
      </c>
      <c r="X278" s="89">
        <v>0</v>
      </c>
      <c r="Y278" s="89">
        <v>0</v>
      </c>
      <c r="Z278" s="89">
        <v>0</v>
      </c>
      <c r="AA278" s="89">
        <v>0</v>
      </c>
      <c r="AB278" s="88">
        <v>2020</v>
      </c>
    </row>
    <row r="279" spans="1:28" s="1" customFormat="1" ht="35.25" customHeight="1">
      <c r="A279" s="1">
        <v>1</v>
      </c>
      <c r="B279" s="38">
        <f>SUBTOTAL(103,$A$11:A279)</f>
        <v>264</v>
      </c>
      <c r="C279" s="82" t="s">
        <v>746</v>
      </c>
      <c r="D279" s="83">
        <f t="shared" si="11"/>
        <v>563800</v>
      </c>
      <c r="E279" s="89">
        <v>0</v>
      </c>
      <c r="F279" s="89">
        <v>0</v>
      </c>
      <c r="G279" s="89">
        <v>563800</v>
      </c>
      <c r="H279" s="89">
        <v>0</v>
      </c>
      <c r="I279" s="89">
        <v>0</v>
      </c>
      <c r="J279" s="89">
        <v>0</v>
      </c>
      <c r="K279" s="90">
        <v>0</v>
      </c>
      <c r="L279" s="89">
        <v>0</v>
      </c>
      <c r="M279" s="89">
        <v>0</v>
      </c>
      <c r="N279" s="89">
        <v>0</v>
      </c>
      <c r="O279" s="89">
        <v>0</v>
      </c>
      <c r="P279" s="89">
        <v>0</v>
      </c>
      <c r="Q279" s="89">
        <v>0</v>
      </c>
      <c r="R279" s="89">
        <v>0</v>
      </c>
      <c r="S279" s="89">
        <v>0</v>
      </c>
      <c r="T279" s="89">
        <v>0</v>
      </c>
      <c r="U279" s="89">
        <v>0</v>
      </c>
      <c r="V279" s="89">
        <v>0</v>
      </c>
      <c r="W279" s="89">
        <v>0</v>
      </c>
      <c r="X279" s="89">
        <v>0</v>
      </c>
      <c r="Y279" s="89">
        <v>0</v>
      </c>
      <c r="Z279" s="89">
        <v>0</v>
      </c>
      <c r="AA279" s="89">
        <v>0</v>
      </c>
      <c r="AB279" s="88">
        <v>2020</v>
      </c>
    </row>
    <row r="280" spans="1:28" s="1" customFormat="1" ht="35.25" customHeight="1">
      <c r="A280" s="1">
        <v>1</v>
      </c>
      <c r="B280" s="38">
        <f>SUBTOTAL(103,$A$11:A280)</f>
        <v>265</v>
      </c>
      <c r="C280" s="82" t="s">
        <v>747</v>
      </c>
      <c r="D280" s="83">
        <f t="shared" si="11"/>
        <v>806650</v>
      </c>
      <c r="E280" s="89">
        <v>0</v>
      </c>
      <c r="F280" s="89">
        <v>0</v>
      </c>
      <c r="G280" s="89">
        <v>0</v>
      </c>
      <c r="H280" s="89">
        <v>0</v>
      </c>
      <c r="I280" s="89">
        <v>0</v>
      </c>
      <c r="J280" s="89">
        <v>0</v>
      </c>
      <c r="K280" s="90">
        <v>0</v>
      </c>
      <c r="L280" s="89">
        <v>0</v>
      </c>
      <c r="M280" s="89">
        <v>0</v>
      </c>
      <c r="N280" s="89">
        <v>0</v>
      </c>
      <c r="O280" s="89">
        <v>806650</v>
      </c>
      <c r="P280" s="89">
        <v>0</v>
      </c>
      <c r="Q280" s="89">
        <v>0</v>
      </c>
      <c r="R280" s="89">
        <v>0</v>
      </c>
      <c r="S280" s="89">
        <v>0</v>
      </c>
      <c r="T280" s="89">
        <v>0</v>
      </c>
      <c r="U280" s="89">
        <v>0</v>
      </c>
      <c r="V280" s="89">
        <v>0</v>
      </c>
      <c r="W280" s="89">
        <v>0</v>
      </c>
      <c r="X280" s="89">
        <v>0</v>
      </c>
      <c r="Y280" s="89">
        <v>0</v>
      </c>
      <c r="Z280" s="89">
        <v>0</v>
      </c>
      <c r="AA280" s="89">
        <v>0</v>
      </c>
      <c r="AB280" s="88">
        <v>2020</v>
      </c>
    </row>
    <row r="281" spans="1:28" s="1" customFormat="1" ht="35.25" customHeight="1">
      <c r="A281" s="1">
        <v>1</v>
      </c>
      <c r="B281" s="38">
        <f>SUBTOTAL(103,$A$11:A281)</f>
        <v>266</v>
      </c>
      <c r="C281" s="82" t="s">
        <v>748</v>
      </c>
      <c r="D281" s="83">
        <f t="shared" si="11"/>
        <v>454614</v>
      </c>
      <c r="E281" s="89">
        <v>0</v>
      </c>
      <c r="F281" s="89">
        <v>0</v>
      </c>
      <c r="G281" s="89">
        <v>0</v>
      </c>
      <c r="H281" s="89">
        <v>0</v>
      </c>
      <c r="I281" s="89">
        <v>0</v>
      </c>
      <c r="J281" s="89">
        <v>0</v>
      </c>
      <c r="K281" s="90">
        <v>0</v>
      </c>
      <c r="L281" s="89">
        <v>0</v>
      </c>
      <c r="M281" s="89">
        <v>0</v>
      </c>
      <c r="N281" s="89">
        <v>0</v>
      </c>
      <c r="O281" s="89">
        <v>454614</v>
      </c>
      <c r="P281" s="89">
        <v>0</v>
      </c>
      <c r="Q281" s="89">
        <v>0</v>
      </c>
      <c r="R281" s="89">
        <v>0</v>
      </c>
      <c r="S281" s="89">
        <v>0</v>
      </c>
      <c r="T281" s="89">
        <v>0</v>
      </c>
      <c r="U281" s="89">
        <v>0</v>
      </c>
      <c r="V281" s="89">
        <v>0</v>
      </c>
      <c r="W281" s="89">
        <v>0</v>
      </c>
      <c r="X281" s="89">
        <v>0</v>
      </c>
      <c r="Y281" s="89">
        <v>0</v>
      </c>
      <c r="Z281" s="89">
        <v>0</v>
      </c>
      <c r="AA281" s="89">
        <v>0</v>
      </c>
      <c r="AB281" s="88">
        <v>2020</v>
      </c>
    </row>
    <row r="282" spans="1:28" s="1" customFormat="1" ht="35.25" customHeight="1">
      <c r="A282" s="1">
        <v>1</v>
      </c>
      <c r="B282" s="38">
        <f>SUBTOTAL(103,$A$11:A282)</f>
        <v>267</v>
      </c>
      <c r="C282" s="82" t="s">
        <v>749</v>
      </c>
      <c r="D282" s="83">
        <f t="shared" si="11"/>
        <v>131148</v>
      </c>
      <c r="E282" s="89">
        <v>0</v>
      </c>
      <c r="F282" s="89">
        <v>0</v>
      </c>
      <c r="G282" s="89">
        <v>0</v>
      </c>
      <c r="H282" s="89">
        <v>0</v>
      </c>
      <c r="I282" s="89">
        <v>0</v>
      </c>
      <c r="J282" s="89">
        <v>0</v>
      </c>
      <c r="K282" s="90">
        <v>0</v>
      </c>
      <c r="L282" s="89">
        <v>0</v>
      </c>
      <c r="M282" s="89">
        <v>131148</v>
      </c>
      <c r="N282" s="89">
        <v>0</v>
      </c>
      <c r="O282" s="89">
        <v>0</v>
      </c>
      <c r="P282" s="89">
        <v>0</v>
      </c>
      <c r="Q282" s="89">
        <v>0</v>
      </c>
      <c r="R282" s="89">
        <v>0</v>
      </c>
      <c r="S282" s="89">
        <v>0</v>
      </c>
      <c r="T282" s="89">
        <v>0</v>
      </c>
      <c r="U282" s="89">
        <v>0</v>
      </c>
      <c r="V282" s="89">
        <v>0</v>
      </c>
      <c r="W282" s="89">
        <v>0</v>
      </c>
      <c r="X282" s="89">
        <v>0</v>
      </c>
      <c r="Y282" s="89">
        <v>0</v>
      </c>
      <c r="Z282" s="89">
        <v>0</v>
      </c>
      <c r="AA282" s="89">
        <v>0</v>
      </c>
      <c r="AB282" s="88">
        <v>2020</v>
      </c>
    </row>
    <row r="283" spans="1:28" s="1" customFormat="1" ht="35.25" customHeight="1">
      <c r="A283" s="1">
        <v>1</v>
      </c>
      <c r="B283" s="38">
        <f>SUBTOTAL(103,$A$11:A283)</f>
        <v>268</v>
      </c>
      <c r="C283" s="82" t="s">
        <v>750</v>
      </c>
      <c r="D283" s="83">
        <f t="shared" si="11"/>
        <v>68679.3</v>
      </c>
      <c r="E283" s="89">
        <v>0</v>
      </c>
      <c r="F283" s="89">
        <v>0</v>
      </c>
      <c r="G283" s="89">
        <v>0</v>
      </c>
      <c r="H283" s="89">
        <v>0</v>
      </c>
      <c r="I283" s="89">
        <v>0</v>
      </c>
      <c r="J283" s="89">
        <v>0</v>
      </c>
      <c r="K283" s="90">
        <v>0</v>
      </c>
      <c r="L283" s="89">
        <v>0</v>
      </c>
      <c r="M283" s="89">
        <v>0</v>
      </c>
      <c r="N283" s="89">
        <v>0</v>
      </c>
      <c r="O283" s="89">
        <v>68679.3</v>
      </c>
      <c r="P283" s="89">
        <v>0</v>
      </c>
      <c r="Q283" s="89">
        <v>0</v>
      </c>
      <c r="R283" s="89">
        <v>0</v>
      </c>
      <c r="S283" s="89">
        <v>0</v>
      </c>
      <c r="T283" s="89">
        <v>0</v>
      </c>
      <c r="U283" s="89">
        <v>0</v>
      </c>
      <c r="V283" s="89">
        <v>0</v>
      </c>
      <c r="W283" s="89">
        <v>0</v>
      </c>
      <c r="X283" s="89">
        <v>0</v>
      </c>
      <c r="Y283" s="89">
        <v>0</v>
      </c>
      <c r="Z283" s="89">
        <v>0</v>
      </c>
      <c r="AA283" s="89">
        <v>0</v>
      </c>
      <c r="AB283" s="88">
        <v>2020</v>
      </c>
    </row>
    <row r="284" spans="1:28" s="1" customFormat="1" ht="35.25" customHeight="1">
      <c r="A284" s="1">
        <v>1</v>
      </c>
      <c r="B284" s="38">
        <f>SUBTOTAL(103,$A$11:A284)</f>
        <v>269</v>
      </c>
      <c r="C284" s="82" t="s">
        <v>751</v>
      </c>
      <c r="D284" s="83">
        <f t="shared" si="11"/>
        <v>409967</v>
      </c>
      <c r="E284" s="89">
        <v>409967</v>
      </c>
      <c r="F284" s="89">
        <v>0</v>
      </c>
      <c r="G284" s="89">
        <v>0</v>
      </c>
      <c r="H284" s="89">
        <v>0</v>
      </c>
      <c r="I284" s="89">
        <v>0</v>
      </c>
      <c r="J284" s="89">
        <v>0</v>
      </c>
      <c r="K284" s="90">
        <v>0</v>
      </c>
      <c r="L284" s="89">
        <v>0</v>
      </c>
      <c r="M284" s="89">
        <v>0</v>
      </c>
      <c r="N284" s="89">
        <v>0</v>
      </c>
      <c r="O284" s="89">
        <v>0</v>
      </c>
      <c r="P284" s="89">
        <v>0</v>
      </c>
      <c r="Q284" s="89">
        <v>0</v>
      </c>
      <c r="R284" s="89">
        <v>0</v>
      </c>
      <c r="S284" s="89">
        <v>0</v>
      </c>
      <c r="T284" s="89">
        <v>0</v>
      </c>
      <c r="U284" s="89">
        <v>0</v>
      </c>
      <c r="V284" s="89">
        <v>0</v>
      </c>
      <c r="W284" s="89">
        <v>0</v>
      </c>
      <c r="X284" s="89">
        <v>0</v>
      </c>
      <c r="Y284" s="89">
        <v>0</v>
      </c>
      <c r="Z284" s="89">
        <v>0</v>
      </c>
      <c r="AA284" s="89">
        <v>0</v>
      </c>
      <c r="AB284" s="88">
        <v>2020</v>
      </c>
    </row>
    <row r="285" spans="1:28" s="1" customFormat="1" ht="35.25" customHeight="1">
      <c r="A285" s="1">
        <v>1</v>
      </c>
      <c r="B285" s="38">
        <f>SUBTOTAL(103,$A$11:A285)</f>
        <v>270</v>
      </c>
      <c r="C285" s="82" t="s">
        <v>752</v>
      </c>
      <c r="D285" s="83">
        <f t="shared" ref="D285:D320" si="12">E285+F285+G285+H285+I285+J285+L285+M285+N285+O285+P285+Q285+R285+S285+T285+U285+V285+W285+X285+Y285+Z285+AA285</f>
        <v>216187</v>
      </c>
      <c r="E285" s="89">
        <v>0</v>
      </c>
      <c r="F285" s="89">
        <v>0</v>
      </c>
      <c r="G285" s="89">
        <v>0</v>
      </c>
      <c r="H285" s="89">
        <v>0</v>
      </c>
      <c r="I285" s="89">
        <v>0</v>
      </c>
      <c r="J285" s="89">
        <v>0</v>
      </c>
      <c r="K285" s="90">
        <v>0</v>
      </c>
      <c r="L285" s="89">
        <v>0</v>
      </c>
      <c r="M285" s="89">
        <v>0</v>
      </c>
      <c r="N285" s="89">
        <v>0</v>
      </c>
      <c r="O285" s="89">
        <v>95414</v>
      </c>
      <c r="P285" s="89">
        <v>120773</v>
      </c>
      <c r="Q285" s="89">
        <v>0</v>
      </c>
      <c r="R285" s="89">
        <v>0</v>
      </c>
      <c r="S285" s="89">
        <v>0</v>
      </c>
      <c r="T285" s="89">
        <v>0</v>
      </c>
      <c r="U285" s="89">
        <v>0</v>
      </c>
      <c r="V285" s="89">
        <v>0</v>
      </c>
      <c r="W285" s="89">
        <v>0</v>
      </c>
      <c r="X285" s="89">
        <v>0</v>
      </c>
      <c r="Y285" s="89">
        <v>0</v>
      </c>
      <c r="Z285" s="89">
        <v>0</v>
      </c>
      <c r="AA285" s="89">
        <v>0</v>
      </c>
      <c r="AB285" s="88">
        <v>2020</v>
      </c>
    </row>
    <row r="286" spans="1:28" s="1" customFormat="1" ht="35.25" customHeight="1">
      <c r="A286" s="1">
        <v>1</v>
      </c>
      <c r="B286" s="38">
        <f>SUBTOTAL(103,$A$11:A286)</f>
        <v>271</v>
      </c>
      <c r="C286" s="82" t="s">
        <v>753</v>
      </c>
      <c r="D286" s="83">
        <f t="shared" si="12"/>
        <v>45391</v>
      </c>
      <c r="E286" s="89">
        <v>0</v>
      </c>
      <c r="F286" s="89">
        <v>0</v>
      </c>
      <c r="G286" s="89">
        <v>45391</v>
      </c>
      <c r="H286" s="89">
        <v>0</v>
      </c>
      <c r="I286" s="89">
        <v>0</v>
      </c>
      <c r="J286" s="89">
        <v>0</v>
      </c>
      <c r="K286" s="90">
        <v>0</v>
      </c>
      <c r="L286" s="89">
        <v>0</v>
      </c>
      <c r="M286" s="89">
        <v>0</v>
      </c>
      <c r="N286" s="89">
        <v>0</v>
      </c>
      <c r="O286" s="89">
        <v>0</v>
      </c>
      <c r="P286" s="89">
        <v>0</v>
      </c>
      <c r="Q286" s="89">
        <v>0</v>
      </c>
      <c r="R286" s="89">
        <v>0</v>
      </c>
      <c r="S286" s="89">
        <v>0</v>
      </c>
      <c r="T286" s="89">
        <v>0</v>
      </c>
      <c r="U286" s="89">
        <v>0</v>
      </c>
      <c r="V286" s="89">
        <v>0</v>
      </c>
      <c r="W286" s="89">
        <v>0</v>
      </c>
      <c r="X286" s="89">
        <v>0</v>
      </c>
      <c r="Y286" s="89">
        <v>0</v>
      </c>
      <c r="Z286" s="89">
        <v>0</v>
      </c>
      <c r="AA286" s="89">
        <v>0</v>
      </c>
      <c r="AB286" s="88">
        <v>2020</v>
      </c>
    </row>
    <row r="287" spans="1:28" s="1" customFormat="1" ht="35.25" customHeight="1">
      <c r="A287" s="1">
        <v>1</v>
      </c>
      <c r="B287" s="38">
        <f>SUBTOTAL(103,$A$11:A287)</f>
        <v>272</v>
      </c>
      <c r="C287" s="82" t="s">
        <v>754</v>
      </c>
      <c r="D287" s="83">
        <f t="shared" si="12"/>
        <v>300000</v>
      </c>
      <c r="E287" s="89">
        <v>0</v>
      </c>
      <c r="F287" s="89">
        <v>0</v>
      </c>
      <c r="G287" s="89">
        <v>0</v>
      </c>
      <c r="H287" s="89">
        <v>0</v>
      </c>
      <c r="I287" s="89">
        <v>0</v>
      </c>
      <c r="J287" s="89">
        <v>0</v>
      </c>
      <c r="K287" s="90">
        <v>0</v>
      </c>
      <c r="L287" s="89">
        <v>0</v>
      </c>
      <c r="M287" s="89">
        <v>0</v>
      </c>
      <c r="N287" s="89">
        <v>0</v>
      </c>
      <c r="O287" s="89">
        <v>300000</v>
      </c>
      <c r="P287" s="89">
        <v>0</v>
      </c>
      <c r="Q287" s="89">
        <v>0</v>
      </c>
      <c r="R287" s="89">
        <v>0</v>
      </c>
      <c r="S287" s="89">
        <v>0</v>
      </c>
      <c r="T287" s="89">
        <v>0</v>
      </c>
      <c r="U287" s="89">
        <v>0</v>
      </c>
      <c r="V287" s="89">
        <v>0</v>
      </c>
      <c r="W287" s="89">
        <v>0</v>
      </c>
      <c r="X287" s="89">
        <v>0</v>
      </c>
      <c r="Y287" s="89">
        <v>0</v>
      </c>
      <c r="Z287" s="89">
        <v>0</v>
      </c>
      <c r="AA287" s="89">
        <v>0</v>
      </c>
      <c r="AB287" s="88">
        <v>2020</v>
      </c>
    </row>
    <row r="288" spans="1:28" s="1" customFormat="1" ht="35.25" customHeight="1">
      <c r="A288" s="1">
        <v>1</v>
      </c>
      <c r="B288" s="38">
        <f>SUBTOTAL(103,$A$11:A288)</f>
        <v>273</v>
      </c>
      <c r="C288" s="82" t="s">
        <v>755</v>
      </c>
      <c r="D288" s="83">
        <f t="shared" si="12"/>
        <v>185000</v>
      </c>
      <c r="E288" s="89">
        <v>0</v>
      </c>
      <c r="F288" s="89">
        <v>0</v>
      </c>
      <c r="G288" s="89">
        <v>0</v>
      </c>
      <c r="H288" s="89">
        <v>0</v>
      </c>
      <c r="I288" s="89">
        <v>0</v>
      </c>
      <c r="J288" s="89">
        <v>0</v>
      </c>
      <c r="K288" s="90">
        <v>0</v>
      </c>
      <c r="L288" s="89">
        <v>0</v>
      </c>
      <c r="M288" s="89">
        <v>0</v>
      </c>
      <c r="N288" s="89">
        <v>0</v>
      </c>
      <c r="O288" s="89">
        <v>185000</v>
      </c>
      <c r="P288" s="89">
        <v>0</v>
      </c>
      <c r="Q288" s="89">
        <v>0</v>
      </c>
      <c r="R288" s="89">
        <v>0</v>
      </c>
      <c r="S288" s="89">
        <v>0</v>
      </c>
      <c r="T288" s="89">
        <v>0</v>
      </c>
      <c r="U288" s="89">
        <v>0</v>
      </c>
      <c r="V288" s="89">
        <v>0</v>
      </c>
      <c r="W288" s="89">
        <v>0</v>
      </c>
      <c r="X288" s="89">
        <v>0</v>
      </c>
      <c r="Y288" s="89">
        <v>0</v>
      </c>
      <c r="Z288" s="89">
        <v>0</v>
      </c>
      <c r="AA288" s="89">
        <v>0</v>
      </c>
      <c r="AB288" s="88">
        <v>2020</v>
      </c>
    </row>
    <row r="289" spans="1:28" s="1" customFormat="1" ht="35.25" customHeight="1">
      <c r="A289" s="1">
        <v>1</v>
      </c>
      <c r="B289" s="38">
        <f>SUBTOTAL(103,$A$11:A289)</f>
        <v>274</v>
      </c>
      <c r="C289" s="82" t="s">
        <v>756</v>
      </c>
      <c r="D289" s="83">
        <f t="shared" si="12"/>
        <v>536083</v>
      </c>
      <c r="E289" s="89">
        <v>127342</v>
      </c>
      <c r="F289" s="89">
        <v>161294</v>
      </c>
      <c r="G289" s="89">
        <v>0</v>
      </c>
      <c r="H289" s="89">
        <v>0</v>
      </c>
      <c r="I289" s="89">
        <v>48447</v>
      </c>
      <c r="J289" s="89">
        <v>0</v>
      </c>
      <c r="K289" s="90">
        <v>0</v>
      </c>
      <c r="L289" s="89">
        <v>0</v>
      </c>
      <c r="M289" s="89">
        <v>0</v>
      </c>
      <c r="N289" s="89">
        <v>0</v>
      </c>
      <c r="O289" s="89">
        <v>199000</v>
      </c>
      <c r="P289" s="89">
        <v>0</v>
      </c>
      <c r="Q289" s="89">
        <v>0</v>
      </c>
      <c r="R289" s="89">
        <v>0</v>
      </c>
      <c r="S289" s="89">
        <v>0</v>
      </c>
      <c r="T289" s="89">
        <v>0</v>
      </c>
      <c r="U289" s="89">
        <v>0</v>
      </c>
      <c r="V289" s="89">
        <v>0</v>
      </c>
      <c r="W289" s="89">
        <v>0</v>
      </c>
      <c r="X289" s="89">
        <v>0</v>
      </c>
      <c r="Y289" s="89">
        <v>0</v>
      </c>
      <c r="Z289" s="89">
        <v>0</v>
      </c>
      <c r="AA289" s="89">
        <v>0</v>
      </c>
      <c r="AB289" s="88">
        <v>2020</v>
      </c>
    </row>
    <row r="290" spans="1:28" s="1" customFormat="1" ht="35.25" customHeight="1">
      <c r="A290" s="1">
        <v>1</v>
      </c>
      <c r="B290" s="38">
        <f>SUBTOTAL(103,$A$11:A290)</f>
        <v>275</v>
      </c>
      <c r="C290" s="82" t="s">
        <v>757</v>
      </c>
      <c r="D290" s="83">
        <f t="shared" si="12"/>
        <v>1195423</v>
      </c>
      <c r="E290" s="89">
        <v>0</v>
      </c>
      <c r="F290" s="89">
        <v>0</v>
      </c>
      <c r="G290" s="89">
        <v>0</v>
      </c>
      <c r="H290" s="89">
        <v>0</v>
      </c>
      <c r="I290" s="89">
        <v>0</v>
      </c>
      <c r="J290" s="89">
        <v>0</v>
      </c>
      <c r="K290" s="90">
        <v>0</v>
      </c>
      <c r="L290" s="89">
        <v>0</v>
      </c>
      <c r="M290" s="89">
        <v>0</v>
      </c>
      <c r="N290" s="89">
        <v>0</v>
      </c>
      <c r="O290" s="89">
        <v>1195423</v>
      </c>
      <c r="P290" s="89">
        <v>0</v>
      </c>
      <c r="Q290" s="89">
        <v>0</v>
      </c>
      <c r="R290" s="89">
        <v>0</v>
      </c>
      <c r="S290" s="89">
        <v>0</v>
      </c>
      <c r="T290" s="89">
        <v>0</v>
      </c>
      <c r="U290" s="89">
        <v>0</v>
      </c>
      <c r="V290" s="89">
        <v>0</v>
      </c>
      <c r="W290" s="89">
        <v>0</v>
      </c>
      <c r="X290" s="89">
        <v>0</v>
      </c>
      <c r="Y290" s="89">
        <v>0</v>
      </c>
      <c r="Z290" s="89">
        <v>0</v>
      </c>
      <c r="AA290" s="89">
        <v>0</v>
      </c>
      <c r="AB290" s="88">
        <v>2020</v>
      </c>
    </row>
    <row r="291" spans="1:28" s="1" customFormat="1" ht="35.25" customHeight="1">
      <c r="A291" s="1">
        <v>1</v>
      </c>
      <c r="B291" s="38">
        <f>SUBTOTAL(103,$A$11:A291)</f>
        <v>276</v>
      </c>
      <c r="C291" s="82" t="s">
        <v>758</v>
      </c>
      <c r="D291" s="83">
        <f t="shared" si="12"/>
        <v>381537</v>
      </c>
      <c r="E291" s="89">
        <v>0</v>
      </c>
      <c r="F291" s="89">
        <v>0</v>
      </c>
      <c r="G291" s="89">
        <v>0</v>
      </c>
      <c r="H291" s="89">
        <v>0</v>
      </c>
      <c r="I291" s="89">
        <v>170882</v>
      </c>
      <c r="J291" s="89">
        <v>0</v>
      </c>
      <c r="K291" s="90">
        <v>0</v>
      </c>
      <c r="L291" s="89">
        <v>0</v>
      </c>
      <c r="M291" s="89">
        <v>0</v>
      </c>
      <c r="N291" s="89">
        <v>0</v>
      </c>
      <c r="O291" s="89">
        <v>210655</v>
      </c>
      <c r="P291" s="89">
        <v>0</v>
      </c>
      <c r="Q291" s="89">
        <v>0</v>
      </c>
      <c r="R291" s="89">
        <v>0</v>
      </c>
      <c r="S291" s="89">
        <v>0</v>
      </c>
      <c r="T291" s="89">
        <v>0</v>
      </c>
      <c r="U291" s="89">
        <v>0</v>
      </c>
      <c r="V291" s="89">
        <v>0</v>
      </c>
      <c r="W291" s="89">
        <v>0</v>
      </c>
      <c r="X291" s="89">
        <v>0</v>
      </c>
      <c r="Y291" s="89">
        <v>0</v>
      </c>
      <c r="Z291" s="89">
        <v>0</v>
      </c>
      <c r="AA291" s="89">
        <v>0</v>
      </c>
      <c r="AB291" s="88">
        <v>2020</v>
      </c>
    </row>
    <row r="292" spans="1:28" s="1" customFormat="1" ht="35.25" customHeight="1">
      <c r="A292" s="1">
        <v>1</v>
      </c>
      <c r="B292" s="38">
        <f>SUBTOTAL(103,$A$11:A292)</f>
        <v>277</v>
      </c>
      <c r="C292" s="82" t="s">
        <v>759</v>
      </c>
      <c r="D292" s="83">
        <f t="shared" si="12"/>
        <v>239525</v>
      </c>
      <c r="E292" s="89">
        <v>0</v>
      </c>
      <c r="F292" s="89">
        <v>0</v>
      </c>
      <c r="G292" s="89">
        <v>0</v>
      </c>
      <c r="H292" s="89">
        <v>0</v>
      </c>
      <c r="I292" s="89">
        <v>0</v>
      </c>
      <c r="J292" s="89">
        <v>0</v>
      </c>
      <c r="K292" s="90">
        <v>0</v>
      </c>
      <c r="L292" s="89">
        <v>0</v>
      </c>
      <c r="M292" s="89">
        <v>0</v>
      </c>
      <c r="N292" s="89">
        <v>0</v>
      </c>
      <c r="O292" s="89">
        <v>239525</v>
      </c>
      <c r="P292" s="89">
        <v>0</v>
      </c>
      <c r="Q292" s="89">
        <v>0</v>
      </c>
      <c r="R292" s="89">
        <v>0</v>
      </c>
      <c r="S292" s="89">
        <v>0</v>
      </c>
      <c r="T292" s="89">
        <v>0</v>
      </c>
      <c r="U292" s="89">
        <v>0</v>
      </c>
      <c r="V292" s="89">
        <v>0</v>
      </c>
      <c r="W292" s="89">
        <v>0</v>
      </c>
      <c r="X292" s="89">
        <v>0</v>
      </c>
      <c r="Y292" s="89">
        <v>0</v>
      </c>
      <c r="Z292" s="89">
        <v>0</v>
      </c>
      <c r="AA292" s="89">
        <v>0</v>
      </c>
      <c r="AB292" s="88">
        <v>2020</v>
      </c>
    </row>
    <row r="293" spans="1:28" s="1" customFormat="1" ht="35.25" customHeight="1">
      <c r="A293" s="1">
        <v>1</v>
      </c>
      <c r="B293" s="38">
        <f>SUBTOTAL(103,$A$11:A293)</f>
        <v>278</v>
      </c>
      <c r="C293" s="82" t="s">
        <v>760</v>
      </c>
      <c r="D293" s="83">
        <f t="shared" si="12"/>
        <v>443675</v>
      </c>
      <c r="E293" s="89">
        <v>0</v>
      </c>
      <c r="F293" s="89">
        <v>0</v>
      </c>
      <c r="G293" s="89">
        <v>0</v>
      </c>
      <c r="H293" s="89">
        <v>0</v>
      </c>
      <c r="I293" s="89">
        <v>0</v>
      </c>
      <c r="J293" s="89">
        <v>0</v>
      </c>
      <c r="K293" s="90">
        <v>0</v>
      </c>
      <c r="L293" s="89">
        <v>0</v>
      </c>
      <c r="M293" s="89">
        <v>0</v>
      </c>
      <c r="N293" s="89">
        <v>0</v>
      </c>
      <c r="O293" s="89">
        <v>443675</v>
      </c>
      <c r="P293" s="89">
        <v>0</v>
      </c>
      <c r="Q293" s="89">
        <v>0</v>
      </c>
      <c r="R293" s="89">
        <v>0</v>
      </c>
      <c r="S293" s="89">
        <v>0</v>
      </c>
      <c r="T293" s="89">
        <v>0</v>
      </c>
      <c r="U293" s="89">
        <v>0</v>
      </c>
      <c r="V293" s="89">
        <v>0</v>
      </c>
      <c r="W293" s="89">
        <v>0</v>
      </c>
      <c r="X293" s="89">
        <v>0</v>
      </c>
      <c r="Y293" s="89">
        <v>0</v>
      </c>
      <c r="Z293" s="89">
        <v>0</v>
      </c>
      <c r="AA293" s="89">
        <v>0</v>
      </c>
      <c r="AB293" s="88">
        <v>2020</v>
      </c>
    </row>
    <row r="294" spans="1:28" s="1" customFormat="1" ht="35.25" customHeight="1">
      <c r="A294" s="1">
        <v>1</v>
      </c>
      <c r="B294" s="38">
        <f>SUBTOTAL(103,$A$11:A294)</f>
        <v>279</v>
      </c>
      <c r="C294" s="82" t="s">
        <v>761</v>
      </c>
      <c r="D294" s="83">
        <f t="shared" si="12"/>
        <v>278300</v>
      </c>
      <c r="E294" s="89">
        <v>0</v>
      </c>
      <c r="F294" s="89">
        <v>0</v>
      </c>
      <c r="G294" s="89">
        <v>0</v>
      </c>
      <c r="H294" s="89">
        <v>0</v>
      </c>
      <c r="I294" s="89">
        <v>0</v>
      </c>
      <c r="J294" s="89">
        <v>0</v>
      </c>
      <c r="K294" s="90">
        <v>0</v>
      </c>
      <c r="L294" s="89">
        <v>0</v>
      </c>
      <c r="M294" s="89">
        <v>0</v>
      </c>
      <c r="N294" s="89">
        <v>0</v>
      </c>
      <c r="O294" s="89">
        <v>278300</v>
      </c>
      <c r="P294" s="89">
        <v>0</v>
      </c>
      <c r="Q294" s="89">
        <v>0</v>
      </c>
      <c r="R294" s="89">
        <v>0</v>
      </c>
      <c r="S294" s="89">
        <v>0</v>
      </c>
      <c r="T294" s="89">
        <v>0</v>
      </c>
      <c r="U294" s="89">
        <v>0</v>
      </c>
      <c r="V294" s="89">
        <v>0</v>
      </c>
      <c r="W294" s="89">
        <v>0</v>
      </c>
      <c r="X294" s="89">
        <v>0</v>
      </c>
      <c r="Y294" s="89">
        <v>0</v>
      </c>
      <c r="Z294" s="89">
        <v>0</v>
      </c>
      <c r="AA294" s="89">
        <v>0</v>
      </c>
      <c r="AB294" s="88">
        <v>2020</v>
      </c>
    </row>
    <row r="295" spans="1:28" s="1" customFormat="1" ht="35.25" customHeight="1">
      <c r="A295" s="1">
        <v>1</v>
      </c>
      <c r="B295" s="38">
        <f>SUBTOTAL(103,$A$11:A295)</f>
        <v>280</v>
      </c>
      <c r="C295" s="82" t="s">
        <v>762</v>
      </c>
      <c r="D295" s="83">
        <f t="shared" si="12"/>
        <v>400000</v>
      </c>
      <c r="E295" s="89">
        <v>0</v>
      </c>
      <c r="F295" s="89">
        <v>0</v>
      </c>
      <c r="G295" s="89">
        <v>0</v>
      </c>
      <c r="H295" s="89">
        <v>0</v>
      </c>
      <c r="I295" s="89">
        <v>0</v>
      </c>
      <c r="J295" s="89">
        <v>0</v>
      </c>
      <c r="K295" s="90">
        <v>0</v>
      </c>
      <c r="L295" s="89">
        <v>0</v>
      </c>
      <c r="M295" s="89">
        <v>0</v>
      </c>
      <c r="N295" s="89">
        <v>0</v>
      </c>
      <c r="O295" s="89">
        <v>400000</v>
      </c>
      <c r="P295" s="89">
        <v>0</v>
      </c>
      <c r="Q295" s="89">
        <v>0</v>
      </c>
      <c r="R295" s="89">
        <v>0</v>
      </c>
      <c r="S295" s="89">
        <v>0</v>
      </c>
      <c r="T295" s="89">
        <v>0</v>
      </c>
      <c r="U295" s="89">
        <v>0</v>
      </c>
      <c r="V295" s="89">
        <v>0</v>
      </c>
      <c r="W295" s="89">
        <v>0</v>
      </c>
      <c r="X295" s="89">
        <v>0</v>
      </c>
      <c r="Y295" s="89">
        <v>0</v>
      </c>
      <c r="Z295" s="89">
        <v>0</v>
      </c>
      <c r="AA295" s="89">
        <v>0</v>
      </c>
      <c r="AB295" s="88">
        <v>2020</v>
      </c>
    </row>
    <row r="296" spans="1:28" s="1" customFormat="1" ht="35.25" customHeight="1">
      <c r="A296" s="1">
        <v>1</v>
      </c>
      <c r="B296" s="38">
        <f>SUBTOTAL(103,$A$11:A296)</f>
        <v>281</v>
      </c>
      <c r="C296" s="82" t="s">
        <v>763</v>
      </c>
      <c r="D296" s="83">
        <f t="shared" si="12"/>
        <v>223100</v>
      </c>
      <c r="E296" s="89">
        <v>0</v>
      </c>
      <c r="F296" s="89">
        <v>0</v>
      </c>
      <c r="G296" s="89">
        <v>0</v>
      </c>
      <c r="H296" s="89">
        <v>0</v>
      </c>
      <c r="I296" s="89">
        <v>0</v>
      </c>
      <c r="J296" s="89">
        <v>0</v>
      </c>
      <c r="K296" s="90">
        <v>0</v>
      </c>
      <c r="L296" s="89">
        <v>0</v>
      </c>
      <c r="M296" s="89">
        <v>223100</v>
      </c>
      <c r="N296" s="89">
        <v>0</v>
      </c>
      <c r="O296" s="89">
        <v>0</v>
      </c>
      <c r="P296" s="89">
        <v>0</v>
      </c>
      <c r="Q296" s="89">
        <v>0</v>
      </c>
      <c r="R296" s="89">
        <v>0</v>
      </c>
      <c r="S296" s="89">
        <v>0</v>
      </c>
      <c r="T296" s="89">
        <v>0</v>
      </c>
      <c r="U296" s="89">
        <v>0</v>
      </c>
      <c r="V296" s="89">
        <v>0</v>
      </c>
      <c r="W296" s="89">
        <v>0</v>
      </c>
      <c r="X296" s="89">
        <v>0</v>
      </c>
      <c r="Y296" s="89">
        <v>0</v>
      </c>
      <c r="Z296" s="89">
        <v>0</v>
      </c>
      <c r="AA296" s="89">
        <v>0</v>
      </c>
      <c r="AB296" s="88">
        <v>2020</v>
      </c>
    </row>
    <row r="297" spans="1:28" s="1" customFormat="1" ht="35.25" customHeight="1">
      <c r="A297" s="1">
        <v>1</v>
      </c>
      <c r="B297" s="38">
        <f>SUBTOTAL(103,$A$11:A297)</f>
        <v>282</v>
      </c>
      <c r="C297" s="82" t="s">
        <v>764</v>
      </c>
      <c r="D297" s="83">
        <f t="shared" si="12"/>
        <v>76725</v>
      </c>
      <c r="E297" s="89">
        <v>0</v>
      </c>
      <c r="F297" s="89">
        <v>0</v>
      </c>
      <c r="G297" s="89">
        <v>0</v>
      </c>
      <c r="H297" s="89">
        <v>0</v>
      </c>
      <c r="I297" s="89">
        <v>0</v>
      </c>
      <c r="J297" s="89">
        <v>0</v>
      </c>
      <c r="K297" s="90">
        <v>0</v>
      </c>
      <c r="L297" s="89">
        <v>0</v>
      </c>
      <c r="M297" s="89">
        <v>76725</v>
      </c>
      <c r="N297" s="89">
        <v>0</v>
      </c>
      <c r="O297" s="89">
        <v>0</v>
      </c>
      <c r="P297" s="89">
        <v>0</v>
      </c>
      <c r="Q297" s="89">
        <v>0</v>
      </c>
      <c r="R297" s="89">
        <v>0</v>
      </c>
      <c r="S297" s="89">
        <v>0</v>
      </c>
      <c r="T297" s="89">
        <v>0</v>
      </c>
      <c r="U297" s="89">
        <v>0</v>
      </c>
      <c r="V297" s="89">
        <v>0</v>
      </c>
      <c r="W297" s="89">
        <v>0</v>
      </c>
      <c r="X297" s="89">
        <v>0</v>
      </c>
      <c r="Y297" s="89">
        <v>0</v>
      </c>
      <c r="Z297" s="89">
        <v>0</v>
      </c>
      <c r="AA297" s="89">
        <v>0</v>
      </c>
      <c r="AB297" s="88">
        <v>2020</v>
      </c>
    </row>
    <row r="298" spans="1:28" s="1" customFormat="1" ht="35.25" customHeight="1">
      <c r="A298" s="1">
        <v>1</v>
      </c>
      <c r="B298" s="38">
        <f>SUBTOTAL(103,$A$11:A298)</f>
        <v>283</v>
      </c>
      <c r="C298" s="82" t="s">
        <v>765</v>
      </c>
      <c r="D298" s="83">
        <f t="shared" si="12"/>
        <v>333783</v>
      </c>
      <c r="E298" s="89">
        <v>0</v>
      </c>
      <c r="F298" s="89">
        <v>0</v>
      </c>
      <c r="G298" s="89">
        <v>0</v>
      </c>
      <c r="H298" s="89">
        <v>0</v>
      </c>
      <c r="I298" s="89">
        <v>0</v>
      </c>
      <c r="J298" s="89">
        <v>0</v>
      </c>
      <c r="K298" s="90">
        <v>0</v>
      </c>
      <c r="L298" s="89">
        <v>0</v>
      </c>
      <c r="M298" s="89">
        <v>0</v>
      </c>
      <c r="N298" s="89">
        <v>0</v>
      </c>
      <c r="O298" s="89">
        <v>0</v>
      </c>
      <c r="P298" s="89">
        <v>333783</v>
      </c>
      <c r="Q298" s="89">
        <v>0</v>
      </c>
      <c r="R298" s="89">
        <v>0</v>
      </c>
      <c r="S298" s="89">
        <v>0</v>
      </c>
      <c r="T298" s="89">
        <v>0</v>
      </c>
      <c r="U298" s="89">
        <v>0</v>
      </c>
      <c r="V298" s="89">
        <v>0</v>
      </c>
      <c r="W298" s="89">
        <v>0</v>
      </c>
      <c r="X298" s="89">
        <v>0</v>
      </c>
      <c r="Y298" s="89">
        <v>0</v>
      </c>
      <c r="Z298" s="89">
        <v>0</v>
      </c>
      <c r="AA298" s="89">
        <v>0</v>
      </c>
      <c r="AB298" s="88">
        <v>2020</v>
      </c>
    </row>
    <row r="299" spans="1:28" s="1" customFormat="1" ht="35.25" customHeight="1">
      <c r="A299" s="1">
        <v>1</v>
      </c>
      <c r="B299" s="38">
        <f>SUBTOTAL(103,$A$11:A299)</f>
        <v>284</v>
      </c>
      <c r="C299" s="82" t="s">
        <v>766</v>
      </c>
      <c r="D299" s="83">
        <f t="shared" si="12"/>
        <v>524585</v>
      </c>
      <c r="E299" s="89">
        <v>0</v>
      </c>
      <c r="F299" s="89">
        <v>0</v>
      </c>
      <c r="G299" s="89">
        <v>0</v>
      </c>
      <c r="H299" s="89">
        <v>0</v>
      </c>
      <c r="I299" s="89">
        <v>0</v>
      </c>
      <c r="J299" s="89">
        <v>0</v>
      </c>
      <c r="K299" s="90">
        <v>0</v>
      </c>
      <c r="L299" s="89">
        <v>0</v>
      </c>
      <c r="M299" s="89">
        <v>0</v>
      </c>
      <c r="N299" s="89">
        <v>0</v>
      </c>
      <c r="O299" s="89">
        <v>524585</v>
      </c>
      <c r="P299" s="89">
        <v>0</v>
      </c>
      <c r="Q299" s="89">
        <v>0</v>
      </c>
      <c r="R299" s="89">
        <v>0</v>
      </c>
      <c r="S299" s="89">
        <v>0</v>
      </c>
      <c r="T299" s="89">
        <v>0</v>
      </c>
      <c r="U299" s="89">
        <v>0</v>
      </c>
      <c r="V299" s="89">
        <v>0</v>
      </c>
      <c r="W299" s="89">
        <v>0</v>
      </c>
      <c r="X299" s="89">
        <v>0</v>
      </c>
      <c r="Y299" s="89">
        <v>0</v>
      </c>
      <c r="Z299" s="89">
        <v>0</v>
      </c>
      <c r="AA299" s="89">
        <v>0</v>
      </c>
      <c r="AB299" s="88">
        <v>2020</v>
      </c>
    </row>
    <row r="300" spans="1:28" s="1" customFormat="1" ht="35.25" customHeight="1">
      <c r="A300" s="1">
        <v>1</v>
      </c>
      <c r="B300" s="38">
        <f>SUBTOTAL(103,$A$11:A300)</f>
        <v>285</v>
      </c>
      <c r="C300" s="82" t="s">
        <v>767</v>
      </c>
      <c r="D300" s="83">
        <f t="shared" si="12"/>
        <v>523713.59</v>
      </c>
      <c r="E300" s="89">
        <v>0</v>
      </c>
      <c r="F300" s="89">
        <v>0</v>
      </c>
      <c r="G300" s="89">
        <v>0</v>
      </c>
      <c r="H300" s="89">
        <v>0</v>
      </c>
      <c r="I300" s="89">
        <v>0</v>
      </c>
      <c r="J300" s="89">
        <v>0</v>
      </c>
      <c r="K300" s="90">
        <v>0</v>
      </c>
      <c r="L300" s="89">
        <v>0</v>
      </c>
      <c r="M300" s="89">
        <v>0</v>
      </c>
      <c r="N300" s="89">
        <v>0</v>
      </c>
      <c r="O300" s="89">
        <v>523713.59</v>
      </c>
      <c r="P300" s="89">
        <v>0</v>
      </c>
      <c r="Q300" s="89">
        <v>0</v>
      </c>
      <c r="R300" s="89">
        <v>0</v>
      </c>
      <c r="S300" s="89">
        <v>0</v>
      </c>
      <c r="T300" s="89">
        <v>0</v>
      </c>
      <c r="U300" s="89">
        <v>0</v>
      </c>
      <c r="V300" s="89">
        <v>0</v>
      </c>
      <c r="W300" s="89">
        <v>0</v>
      </c>
      <c r="X300" s="89">
        <v>0</v>
      </c>
      <c r="Y300" s="89">
        <v>0</v>
      </c>
      <c r="Z300" s="89">
        <v>0</v>
      </c>
      <c r="AA300" s="89">
        <v>0</v>
      </c>
      <c r="AB300" s="88">
        <v>2020</v>
      </c>
    </row>
    <row r="301" spans="1:28" s="1" customFormat="1" ht="35.25" customHeight="1">
      <c r="A301" s="1">
        <v>1</v>
      </c>
      <c r="B301" s="38">
        <f>SUBTOTAL(103,$A$11:A301)</f>
        <v>286</v>
      </c>
      <c r="C301" s="82" t="s">
        <v>768</v>
      </c>
      <c r="D301" s="83">
        <f t="shared" si="12"/>
        <v>1050321.76</v>
      </c>
      <c r="E301" s="89">
        <v>0</v>
      </c>
      <c r="F301" s="89">
        <v>0</v>
      </c>
      <c r="G301" s="89">
        <v>637270</v>
      </c>
      <c r="H301" s="89">
        <v>0</v>
      </c>
      <c r="I301" s="89">
        <v>0</v>
      </c>
      <c r="J301" s="89">
        <v>0</v>
      </c>
      <c r="K301" s="90">
        <v>0</v>
      </c>
      <c r="L301" s="89">
        <v>0</v>
      </c>
      <c r="M301" s="89">
        <v>0</v>
      </c>
      <c r="N301" s="89">
        <v>0</v>
      </c>
      <c r="O301" s="89">
        <v>413051.76</v>
      </c>
      <c r="P301" s="89">
        <v>0</v>
      </c>
      <c r="Q301" s="89">
        <v>0</v>
      </c>
      <c r="R301" s="89">
        <v>0</v>
      </c>
      <c r="S301" s="89">
        <v>0</v>
      </c>
      <c r="T301" s="89">
        <v>0</v>
      </c>
      <c r="U301" s="89">
        <v>0</v>
      </c>
      <c r="V301" s="89">
        <v>0</v>
      </c>
      <c r="W301" s="89">
        <v>0</v>
      </c>
      <c r="X301" s="89">
        <v>0</v>
      </c>
      <c r="Y301" s="89">
        <v>0</v>
      </c>
      <c r="Z301" s="89">
        <v>0</v>
      </c>
      <c r="AA301" s="89">
        <v>0</v>
      </c>
      <c r="AB301" s="88">
        <v>2020</v>
      </c>
    </row>
    <row r="302" spans="1:28" s="1" customFormat="1" ht="35.25" customHeight="1">
      <c r="A302" s="1">
        <v>1</v>
      </c>
      <c r="B302" s="38">
        <f>SUBTOTAL(103,$A$11:A302)</f>
        <v>287</v>
      </c>
      <c r="C302" s="82" t="s">
        <v>769</v>
      </c>
      <c r="D302" s="83">
        <f t="shared" si="12"/>
        <v>46494</v>
      </c>
      <c r="E302" s="89">
        <v>0</v>
      </c>
      <c r="F302" s="89">
        <v>0</v>
      </c>
      <c r="G302" s="89">
        <v>46494</v>
      </c>
      <c r="H302" s="89">
        <v>0</v>
      </c>
      <c r="I302" s="89">
        <v>0</v>
      </c>
      <c r="J302" s="89">
        <v>0</v>
      </c>
      <c r="K302" s="90">
        <v>0</v>
      </c>
      <c r="L302" s="89">
        <v>0</v>
      </c>
      <c r="M302" s="89">
        <v>0</v>
      </c>
      <c r="N302" s="89">
        <v>0</v>
      </c>
      <c r="O302" s="89">
        <v>0</v>
      </c>
      <c r="P302" s="89">
        <v>0</v>
      </c>
      <c r="Q302" s="89">
        <v>0</v>
      </c>
      <c r="R302" s="89">
        <v>0</v>
      </c>
      <c r="S302" s="89">
        <v>0</v>
      </c>
      <c r="T302" s="89">
        <v>0</v>
      </c>
      <c r="U302" s="89">
        <v>0</v>
      </c>
      <c r="V302" s="89">
        <v>0</v>
      </c>
      <c r="W302" s="89">
        <v>0</v>
      </c>
      <c r="X302" s="89">
        <v>0</v>
      </c>
      <c r="Y302" s="89">
        <v>0</v>
      </c>
      <c r="Z302" s="89">
        <v>0</v>
      </c>
      <c r="AA302" s="89">
        <v>0</v>
      </c>
      <c r="AB302" s="88">
        <v>2020</v>
      </c>
    </row>
    <row r="303" spans="1:28" s="1" customFormat="1" ht="35.25" customHeight="1">
      <c r="A303" s="1">
        <v>1</v>
      </c>
      <c r="B303" s="38">
        <f>SUBTOTAL(103,$A$11:A303)</f>
        <v>288</v>
      </c>
      <c r="C303" s="82" t="s">
        <v>770</v>
      </c>
      <c r="D303" s="83">
        <f t="shared" si="12"/>
        <v>48083</v>
      </c>
      <c r="E303" s="89">
        <v>0</v>
      </c>
      <c r="F303" s="89">
        <v>0</v>
      </c>
      <c r="G303" s="89">
        <v>48083</v>
      </c>
      <c r="H303" s="89">
        <v>0</v>
      </c>
      <c r="I303" s="89">
        <v>0</v>
      </c>
      <c r="J303" s="89">
        <v>0</v>
      </c>
      <c r="K303" s="90">
        <v>0</v>
      </c>
      <c r="L303" s="89">
        <v>0</v>
      </c>
      <c r="M303" s="89">
        <v>0</v>
      </c>
      <c r="N303" s="89">
        <v>0</v>
      </c>
      <c r="O303" s="89">
        <v>0</v>
      </c>
      <c r="P303" s="89">
        <v>0</v>
      </c>
      <c r="Q303" s="89">
        <v>0</v>
      </c>
      <c r="R303" s="89">
        <v>0</v>
      </c>
      <c r="S303" s="89">
        <v>0</v>
      </c>
      <c r="T303" s="89">
        <v>0</v>
      </c>
      <c r="U303" s="89">
        <v>0</v>
      </c>
      <c r="V303" s="89">
        <v>0</v>
      </c>
      <c r="W303" s="89">
        <v>0</v>
      </c>
      <c r="X303" s="89">
        <v>0</v>
      </c>
      <c r="Y303" s="89">
        <v>0</v>
      </c>
      <c r="Z303" s="89">
        <v>0</v>
      </c>
      <c r="AA303" s="89">
        <v>0</v>
      </c>
      <c r="AB303" s="88">
        <v>2020</v>
      </c>
    </row>
    <row r="304" spans="1:28" s="1" customFormat="1" ht="35.25" customHeight="1">
      <c r="A304" s="1">
        <v>1</v>
      </c>
      <c r="B304" s="38">
        <f>SUBTOTAL(103,$A$11:A304)</f>
        <v>289</v>
      </c>
      <c r="C304" s="82" t="s">
        <v>771</v>
      </c>
      <c r="D304" s="83">
        <f t="shared" si="12"/>
        <v>174550</v>
      </c>
      <c r="E304" s="89">
        <v>0</v>
      </c>
      <c r="F304" s="89">
        <v>174550</v>
      </c>
      <c r="G304" s="89">
        <v>0</v>
      </c>
      <c r="H304" s="89">
        <v>0</v>
      </c>
      <c r="I304" s="89">
        <v>0</v>
      </c>
      <c r="J304" s="89">
        <v>0</v>
      </c>
      <c r="K304" s="90">
        <v>0</v>
      </c>
      <c r="L304" s="89">
        <v>0</v>
      </c>
      <c r="M304" s="89">
        <v>0</v>
      </c>
      <c r="N304" s="89">
        <v>0</v>
      </c>
      <c r="O304" s="89">
        <v>0</v>
      </c>
      <c r="P304" s="89">
        <v>0</v>
      </c>
      <c r="Q304" s="89">
        <v>0</v>
      </c>
      <c r="R304" s="89">
        <v>0</v>
      </c>
      <c r="S304" s="89">
        <v>0</v>
      </c>
      <c r="T304" s="89">
        <v>0</v>
      </c>
      <c r="U304" s="89">
        <v>0</v>
      </c>
      <c r="V304" s="89">
        <v>0</v>
      </c>
      <c r="W304" s="89">
        <v>0</v>
      </c>
      <c r="X304" s="89">
        <v>0</v>
      </c>
      <c r="Y304" s="89">
        <v>0</v>
      </c>
      <c r="Z304" s="89">
        <v>0</v>
      </c>
      <c r="AA304" s="89">
        <v>0</v>
      </c>
      <c r="AB304" s="88">
        <v>2020</v>
      </c>
    </row>
    <row r="305" spans="1:28" s="1" customFormat="1" ht="35.25" customHeight="1">
      <c r="A305" s="1">
        <v>1</v>
      </c>
      <c r="B305" s="38">
        <f>SUBTOTAL(103,$A$11:A305)</f>
        <v>290</v>
      </c>
      <c r="C305" s="82" t="s">
        <v>772</v>
      </c>
      <c r="D305" s="83">
        <f t="shared" si="12"/>
        <v>403107</v>
      </c>
      <c r="E305" s="89">
        <v>0</v>
      </c>
      <c r="F305" s="89">
        <v>0</v>
      </c>
      <c r="G305" s="89">
        <v>0</v>
      </c>
      <c r="H305" s="89">
        <v>0</v>
      </c>
      <c r="I305" s="89">
        <v>0</v>
      </c>
      <c r="J305" s="89">
        <v>0</v>
      </c>
      <c r="K305" s="90">
        <v>0</v>
      </c>
      <c r="L305" s="89">
        <v>0</v>
      </c>
      <c r="M305" s="89">
        <v>0</v>
      </c>
      <c r="N305" s="89">
        <v>0</v>
      </c>
      <c r="O305" s="89">
        <v>403107</v>
      </c>
      <c r="P305" s="89">
        <v>0</v>
      </c>
      <c r="Q305" s="89">
        <v>0</v>
      </c>
      <c r="R305" s="89">
        <v>0</v>
      </c>
      <c r="S305" s="89">
        <v>0</v>
      </c>
      <c r="T305" s="89">
        <v>0</v>
      </c>
      <c r="U305" s="89">
        <v>0</v>
      </c>
      <c r="V305" s="89">
        <v>0</v>
      </c>
      <c r="W305" s="89">
        <v>0</v>
      </c>
      <c r="X305" s="89">
        <v>0</v>
      </c>
      <c r="Y305" s="89">
        <v>0</v>
      </c>
      <c r="Z305" s="89">
        <v>0</v>
      </c>
      <c r="AA305" s="89">
        <v>0</v>
      </c>
      <c r="AB305" s="88">
        <v>2020</v>
      </c>
    </row>
    <row r="306" spans="1:28" s="1" customFormat="1" ht="35.25" customHeight="1">
      <c r="A306" s="1">
        <v>1</v>
      </c>
      <c r="B306" s="38">
        <f>SUBTOTAL(103,$A$11:A306)</f>
        <v>291</v>
      </c>
      <c r="C306" s="82" t="s">
        <v>773</v>
      </c>
      <c r="D306" s="83">
        <f t="shared" si="12"/>
        <v>431437</v>
      </c>
      <c r="E306" s="89">
        <v>0</v>
      </c>
      <c r="F306" s="89">
        <v>0</v>
      </c>
      <c r="G306" s="89">
        <v>0</v>
      </c>
      <c r="H306" s="89">
        <v>0</v>
      </c>
      <c r="I306" s="89">
        <v>0</v>
      </c>
      <c r="J306" s="89">
        <v>0</v>
      </c>
      <c r="K306" s="90">
        <v>0</v>
      </c>
      <c r="L306" s="89">
        <v>0</v>
      </c>
      <c r="M306" s="89">
        <v>0</v>
      </c>
      <c r="N306" s="89">
        <v>0</v>
      </c>
      <c r="O306" s="89">
        <v>431437</v>
      </c>
      <c r="P306" s="89">
        <v>0</v>
      </c>
      <c r="Q306" s="89">
        <v>0</v>
      </c>
      <c r="R306" s="89">
        <v>0</v>
      </c>
      <c r="S306" s="89">
        <v>0</v>
      </c>
      <c r="T306" s="89">
        <v>0</v>
      </c>
      <c r="U306" s="89">
        <v>0</v>
      </c>
      <c r="V306" s="89">
        <v>0</v>
      </c>
      <c r="W306" s="89">
        <v>0</v>
      </c>
      <c r="X306" s="89">
        <v>0</v>
      </c>
      <c r="Y306" s="89">
        <v>0</v>
      </c>
      <c r="Z306" s="89">
        <v>0</v>
      </c>
      <c r="AA306" s="89">
        <v>0</v>
      </c>
      <c r="AB306" s="88">
        <v>2020</v>
      </c>
    </row>
    <row r="307" spans="1:28" s="1" customFormat="1" ht="35.25" customHeight="1">
      <c r="A307" s="1">
        <v>1</v>
      </c>
      <c r="B307" s="38">
        <f>SUBTOTAL(103,$A$11:A307)</f>
        <v>292</v>
      </c>
      <c r="C307" s="82" t="s">
        <v>774</v>
      </c>
      <c r="D307" s="83">
        <f t="shared" si="12"/>
        <v>380000</v>
      </c>
      <c r="E307" s="89">
        <v>0</v>
      </c>
      <c r="F307" s="89">
        <v>0</v>
      </c>
      <c r="G307" s="89">
        <v>0</v>
      </c>
      <c r="H307" s="89">
        <v>0</v>
      </c>
      <c r="I307" s="89">
        <v>0</v>
      </c>
      <c r="J307" s="89">
        <v>0</v>
      </c>
      <c r="K307" s="90">
        <v>0</v>
      </c>
      <c r="L307" s="89">
        <v>0</v>
      </c>
      <c r="M307" s="89">
        <v>380000</v>
      </c>
      <c r="N307" s="89">
        <v>0</v>
      </c>
      <c r="O307" s="89">
        <v>0</v>
      </c>
      <c r="P307" s="89">
        <v>0</v>
      </c>
      <c r="Q307" s="89">
        <v>0</v>
      </c>
      <c r="R307" s="89">
        <v>0</v>
      </c>
      <c r="S307" s="89">
        <v>0</v>
      </c>
      <c r="T307" s="89">
        <v>0</v>
      </c>
      <c r="U307" s="89">
        <v>0</v>
      </c>
      <c r="V307" s="89">
        <v>0</v>
      </c>
      <c r="W307" s="89">
        <v>0</v>
      </c>
      <c r="X307" s="89">
        <v>0</v>
      </c>
      <c r="Y307" s="89">
        <v>0</v>
      </c>
      <c r="Z307" s="89">
        <v>0</v>
      </c>
      <c r="AA307" s="89">
        <v>0</v>
      </c>
      <c r="AB307" s="88">
        <v>2020</v>
      </c>
    </row>
    <row r="308" spans="1:28" s="1" customFormat="1" ht="35.25" customHeight="1">
      <c r="A308" s="1">
        <v>1</v>
      </c>
      <c r="B308" s="38">
        <f>SUBTOTAL(103,$A$11:A308)</f>
        <v>293</v>
      </c>
      <c r="C308" s="82" t="s">
        <v>775</v>
      </c>
      <c r="D308" s="83">
        <f t="shared" si="12"/>
        <v>379775.77</v>
      </c>
      <c r="E308" s="89">
        <v>0</v>
      </c>
      <c r="F308" s="89">
        <v>0</v>
      </c>
      <c r="G308" s="89">
        <v>0</v>
      </c>
      <c r="H308" s="89">
        <v>0</v>
      </c>
      <c r="I308" s="89">
        <v>0</v>
      </c>
      <c r="J308" s="89">
        <v>0</v>
      </c>
      <c r="K308" s="90">
        <v>0</v>
      </c>
      <c r="L308" s="89">
        <v>0</v>
      </c>
      <c r="M308" s="89">
        <v>379775.77</v>
      </c>
      <c r="N308" s="89">
        <v>0</v>
      </c>
      <c r="O308" s="89">
        <v>0</v>
      </c>
      <c r="P308" s="89">
        <v>0</v>
      </c>
      <c r="Q308" s="89">
        <v>0</v>
      </c>
      <c r="R308" s="89">
        <v>0</v>
      </c>
      <c r="S308" s="89">
        <v>0</v>
      </c>
      <c r="T308" s="89">
        <v>0</v>
      </c>
      <c r="U308" s="89">
        <v>0</v>
      </c>
      <c r="V308" s="89">
        <v>0</v>
      </c>
      <c r="W308" s="89">
        <v>0</v>
      </c>
      <c r="X308" s="89">
        <v>0</v>
      </c>
      <c r="Y308" s="89">
        <v>0</v>
      </c>
      <c r="Z308" s="89">
        <v>0</v>
      </c>
      <c r="AA308" s="89">
        <v>0</v>
      </c>
      <c r="AB308" s="88">
        <v>2020</v>
      </c>
    </row>
    <row r="309" spans="1:28" s="1" customFormat="1" ht="35.25" customHeight="1">
      <c r="A309" s="1">
        <v>1</v>
      </c>
      <c r="B309" s="38">
        <f>SUBTOTAL(103,$A$11:A309)</f>
        <v>294</v>
      </c>
      <c r="C309" s="82" t="s">
        <v>776</v>
      </c>
      <c r="D309" s="83">
        <f t="shared" si="12"/>
        <v>220000</v>
      </c>
      <c r="E309" s="89">
        <v>0</v>
      </c>
      <c r="F309" s="89">
        <v>0</v>
      </c>
      <c r="G309" s="89">
        <v>0</v>
      </c>
      <c r="H309" s="89">
        <v>0</v>
      </c>
      <c r="I309" s="89">
        <v>0</v>
      </c>
      <c r="J309" s="89">
        <v>0</v>
      </c>
      <c r="K309" s="90">
        <v>0</v>
      </c>
      <c r="L309" s="89">
        <v>0</v>
      </c>
      <c r="M309" s="89">
        <v>0</v>
      </c>
      <c r="N309" s="89">
        <v>0</v>
      </c>
      <c r="O309" s="89">
        <v>220000</v>
      </c>
      <c r="P309" s="89">
        <v>0</v>
      </c>
      <c r="Q309" s="89">
        <v>0</v>
      </c>
      <c r="R309" s="89">
        <v>0</v>
      </c>
      <c r="S309" s="89">
        <v>0</v>
      </c>
      <c r="T309" s="89">
        <v>0</v>
      </c>
      <c r="U309" s="89">
        <v>0</v>
      </c>
      <c r="V309" s="89">
        <v>0</v>
      </c>
      <c r="W309" s="89">
        <v>0</v>
      </c>
      <c r="X309" s="89">
        <v>0</v>
      </c>
      <c r="Y309" s="89">
        <v>0</v>
      </c>
      <c r="Z309" s="89">
        <v>0</v>
      </c>
      <c r="AA309" s="89">
        <v>0</v>
      </c>
      <c r="AB309" s="88">
        <v>2020</v>
      </c>
    </row>
    <row r="310" spans="1:28" s="1" customFormat="1" ht="35.25" customHeight="1">
      <c r="A310" s="1">
        <v>1</v>
      </c>
      <c r="B310" s="38">
        <f>SUBTOTAL(103,$A$11:A310)</f>
        <v>295</v>
      </c>
      <c r="C310" s="82" t="s">
        <v>777</v>
      </c>
      <c r="D310" s="83">
        <f t="shared" si="12"/>
        <v>964015</v>
      </c>
      <c r="E310" s="89">
        <v>0</v>
      </c>
      <c r="F310" s="89">
        <v>0</v>
      </c>
      <c r="G310" s="89">
        <v>0</v>
      </c>
      <c r="H310" s="89">
        <v>0</v>
      </c>
      <c r="I310" s="89">
        <v>0</v>
      </c>
      <c r="J310" s="89">
        <v>0</v>
      </c>
      <c r="K310" s="90">
        <v>0</v>
      </c>
      <c r="L310" s="89">
        <v>0</v>
      </c>
      <c r="M310" s="89">
        <v>0</v>
      </c>
      <c r="N310" s="89">
        <v>0</v>
      </c>
      <c r="O310" s="89">
        <v>964015</v>
      </c>
      <c r="P310" s="89">
        <v>0</v>
      </c>
      <c r="Q310" s="89">
        <v>0</v>
      </c>
      <c r="R310" s="89">
        <v>0</v>
      </c>
      <c r="S310" s="89">
        <v>0</v>
      </c>
      <c r="T310" s="89">
        <v>0</v>
      </c>
      <c r="U310" s="89">
        <v>0</v>
      </c>
      <c r="V310" s="89">
        <v>0</v>
      </c>
      <c r="W310" s="89">
        <v>0</v>
      </c>
      <c r="X310" s="89">
        <v>0</v>
      </c>
      <c r="Y310" s="89">
        <v>0</v>
      </c>
      <c r="Z310" s="89">
        <v>0</v>
      </c>
      <c r="AA310" s="89">
        <v>0</v>
      </c>
      <c r="AB310" s="88">
        <v>2020</v>
      </c>
    </row>
    <row r="311" spans="1:28" s="1" customFormat="1" ht="35.25" customHeight="1">
      <c r="A311" s="1">
        <v>1</v>
      </c>
      <c r="B311" s="38">
        <f>SUBTOTAL(103,$A$11:A311)</f>
        <v>296</v>
      </c>
      <c r="C311" s="82" t="s">
        <v>778</v>
      </c>
      <c r="D311" s="83">
        <f t="shared" si="12"/>
        <v>290444</v>
      </c>
      <c r="E311" s="89">
        <v>0</v>
      </c>
      <c r="F311" s="89">
        <v>0</v>
      </c>
      <c r="G311" s="89">
        <v>0</v>
      </c>
      <c r="H311" s="89">
        <v>0</v>
      </c>
      <c r="I311" s="89">
        <v>0</v>
      </c>
      <c r="J311" s="89">
        <v>0</v>
      </c>
      <c r="K311" s="90">
        <v>0</v>
      </c>
      <c r="L311" s="89">
        <v>0</v>
      </c>
      <c r="M311" s="89">
        <v>290444</v>
      </c>
      <c r="N311" s="89">
        <v>0</v>
      </c>
      <c r="O311" s="89">
        <v>0</v>
      </c>
      <c r="P311" s="89">
        <v>0</v>
      </c>
      <c r="Q311" s="89">
        <v>0</v>
      </c>
      <c r="R311" s="89">
        <v>0</v>
      </c>
      <c r="S311" s="89">
        <v>0</v>
      </c>
      <c r="T311" s="89">
        <v>0</v>
      </c>
      <c r="U311" s="89">
        <v>0</v>
      </c>
      <c r="V311" s="89">
        <v>0</v>
      </c>
      <c r="W311" s="89">
        <v>0</v>
      </c>
      <c r="X311" s="89">
        <v>0</v>
      </c>
      <c r="Y311" s="89">
        <v>0</v>
      </c>
      <c r="Z311" s="89">
        <v>0</v>
      </c>
      <c r="AA311" s="89">
        <v>0</v>
      </c>
      <c r="AB311" s="88">
        <v>2020</v>
      </c>
    </row>
    <row r="312" spans="1:28" s="1" customFormat="1" ht="35.25" customHeight="1">
      <c r="A312" s="1">
        <v>1</v>
      </c>
      <c r="B312" s="38">
        <f>SUBTOTAL(103,$A$11:A312)</f>
        <v>297</v>
      </c>
      <c r="C312" s="82" t="s">
        <v>779</v>
      </c>
      <c r="D312" s="83">
        <f t="shared" si="12"/>
        <v>897533</v>
      </c>
      <c r="E312" s="89">
        <v>0</v>
      </c>
      <c r="F312" s="89">
        <v>0</v>
      </c>
      <c r="G312" s="89">
        <v>0</v>
      </c>
      <c r="H312" s="89">
        <v>0</v>
      </c>
      <c r="I312" s="89">
        <v>0</v>
      </c>
      <c r="J312" s="89">
        <v>0</v>
      </c>
      <c r="K312" s="90">
        <v>0</v>
      </c>
      <c r="L312" s="89">
        <v>0</v>
      </c>
      <c r="M312" s="89">
        <v>0</v>
      </c>
      <c r="N312" s="89">
        <v>0</v>
      </c>
      <c r="O312" s="89">
        <v>897533</v>
      </c>
      <c r="P312" s="89">
        <v>0</v>
      </c>
      <c r="Q312" s="89">
        <v>0</v>
      </c>
      <c r="R312" s="89">
        <v>0</v>
      </c>
      <c r="S312" s="89">
        <v>0</v>
      </c>
      <c r="T312" s="89">
        <v>0</v>
      </c>
      <c r="U312" s="89">
        <v>0</v>
      </c>
      <c r="V312" s="89">
        <v>0</v>
      </c>
      <c r="W312" s="89">
        <v>0</v>
      </c>
      <c r="X312" s="89">
        <v>0</v>
      </c>
      <c r="Y312" s="89">
        <v>0</v>
      </c>
      <c r="Z312" s="89">
        <v>0</v>
      </c>
      <c r="AA312" s="89">
        <v>0</v>
      </c>
      <c r="AB312" s="88">
        <v>2020</v>
      </c>
    </row>
    <row r="313" spans="1:28" s="1" customFormat="1" ht="35.25" customHeight="1">
      <c r="A313" s="1">
        <v>1</v>
      </c>
      <c r="B313" s="38">
        <f>SUBTOTAL(103,$A$11:A313)</f>
        <v>298</v>
      </c>
      <c r="C313" s="82" t="s">
        <v>780</v>
      </c>
      <c r="D313" s="83">
        <f t="shared" si="12"/>
        <v>706818.62</v>
      </c>
      <c r="E313" s="89">
        <v>0</v>
      </c>
      <c r="F313" s="89">
        <v>0</v>
      </c>
      <c r="G313" s="89">
        <v>0</v>
      </c>
      <c r="H313" s="89">
        <v>0</v>
      </c>
      <c r="I313" s="89">
        <v>0</v>
      </c>
      <c r="J313" s="89">
        <v>0</v>
      </c>
      <c r="K313" s="90">
        <v>0</v>
      </c>
      <c r="L313" s="89">
        <v>0</v>
      </c>
      <c r="M313" s="89">
        <v>498818.62</v>
      </c>
      <c r="N313" s="89">
        <v>0</v>
      </c>
      <c r="O313" s="89">
        <v>208000</v>
      </c>
      <c r="P313" s="89">
        <v>0</v>
      </c>
      <c r="Q313" s="89">
        <v>0</v>
      </c>
      <c r="R313" s="89">
        <v>0</v>
      </c>
      <c r="S313" s="89">
        <v>0</v>
      </c>
      <c r="T313" s="89">
        <v>0</v>
      </c>
      <c r="U313" s="89">
        <v>0</v>
      </c>
      <c r="V313" s="89">
        <v>0</v>
      </c>
      <c r="W313" s="89">
        <v>0</v>
      </c>
      <c r="X313" s="89">
        <v>0</v>
      </c>
      <c r="Y313" s="89">
        <v>0</v>
      </c>
      <c r="Z313" s="89">
        <v>0</v>
      </c>
      <c r="AA313" s="89">
        <v>0</v>
      </c>
      <c r="AB313" s="88">
        <v>2020</v>
      </c>
    </row>
    <row r="314" spans="1:28" s="1" customFormat="1" ht="35.25" customHeight="1">
      <c r="A314" s="1">
        <v>1</v>
      </c>
      <c r="B314" s="38">
        <f>SUBTOTAL(103,$A$11:A314)</f>
        <v>299</v>
      </c>
      <c r="C314" s="82" t="s">
        <v>781</v>
      </c>
      <c r="D314" s="83">
        <f t="shared" si="12"/>
        <v>444403</v>
      </c>
      <c r="E314" s="89">
        <v>0</v>
      </c>
      <c r="F314" s="89">
        <v>0</v>
      </c>
      <c r="G314" s="89">
        <v>0</v>
      </c>
      <c r="H314" s="89">
        <v>0</v>
      </c>
      <c r="I314" s="89">
        <v>0</v>
      </c>
      <c r="J314" s="89">
        <v>0</v>
      </c>
      <c r="K314" s="90">
        <v>0</v>
      </c>
      <c r="L314" s="89">
        <v>0</v>
      </c>
      <c r="M314" s="89">
        <v>444403</v>
      </c>
      <c r="N314" s="89">
        <v>0</v>
      </c>
      <c r="O314" s="89">
        <v>0</v>
      </c>
      <c r="P314" s="89">
        <v>0</v>
      </c>
      <c r="Q314" s="89">
        <v>0</v>
      </c>
      <c r="R314" s="89">
        <v>0</v>
      </c>
      <c r="S314" s="89">
        <v>0</v>
      </c>
      <c r="T314" s="89">
        <v>0</v>
      </c>
      <c r="U314" s="89">
        <v>0</v>
      </c>
      <c r="V314" s="89">
        <v>0</v>
      </c>
      <c r="W314" s="89">
        <v>0</v>
      </c>
      <c r="X314" s="89">
        <v>0</v>
      </c>
      <c r="Y314" s="89">
        <v>0</v>
      </c>
      <c r="Z314" s="89">
        <v>0</v>
      </c>
      <c r="AA314" s="89">
        <v>0</v>
      </c>
      <c r="AB314" s="88">
        <v>2020</v>
      </c>
    </row>
    <row r="315" spans="1:28" s="1" customFormat="1" ht="35.25" customHeight="1">
      <c r="A315" s="1">
        <v>1</v>
      </c>
      <c r="B315" s="38">
        <f>SUBTOTAL(103,$A$11:A315)</f>
        <v>300</v>
      </c>
      <c r="C315" s="82" t="s">
        <v>782</v>
      </c>
      <c r="D315" s="83">
        <f t="shared" si="12"/>
        <v>379619</v>
      </c>
      <c r="E315" s="89">
        <v>0</v>
      </c>
      <c r="F315" s="89">
        <v>0</v>
      </c>
      <c r="G315" s="89">
        <v>0</v>
      </c>
      <c r="H315" s="89">
        <v>0</v>
      </c>
      <c r="I315" s="89">
        <v>0</v>
      </c>
      <c r="J315" s="89">
        <v>0</v>
      </c>
      <c r="K315" s="90">
        <v>0</v>
      </c>
      <c r="L315" s="89">
        <v>0</v>
      </c>
      <c r="M315" s="89">
        <v>0</v>
      </c>
      <c r="N315" s="89">
        <v>0</v>
      </c>
      <c r="O315" s="89">
        <v>0</v>
      </c>
      <c r="P315" s="89">
        <v>379619</v>
      </c>
      <c r="Q315" s="89">
        <v>0</v>
      </c>
      <c r="R315" s="89">
        <v>0</v>
      </c>
      <c r="S315" s="89">
        <v>0</v>
      </c>
      <c r="T315" s="89">
        <v>0</v>
      </c>
      <c r="U315" s="89">
        <v>0</v>
      </c>
      <c r="V315" s="89">
        <v>0</v>
      </c>
      <c r="W315" s="89">
        <v>0</v>
      </c>
      <c r="X315" s="89">
        <v>0</v>
      </c>
      <c r="Y315" s="89">
        <v>0</v>
      </c>
      <c r="Z315" s="89">
        <v>0</v>
      </c>
      <c r="AA315" s="89">
        <v>0</v>
      </c>
      <c r="AB315" s="88">
        <v>2020</v>
      </c>
    </row>
    <row r="316" spans="1:28" s="1" customFormat="1" ht="35.25" customHeight="1">
      <c r="A316" s="1">
        <v>1</v>
      </c>
      <c r="B316" s="38">
        <f>SUBTOTAL(103,$A$11:A316)</f>
        <v>301</v>
      </c>
      <c r="C316" s="82" t="s">
        <v>783</v>
      </c>
      <c r="D316" s="83">
        <f t="shared" si="12"/>
        <v>796865</v>
      </c>
      <c r="E316" s="89">
        <v>0</v>
      </c>
      <c r="F316" s="89">
        <v>0</v>
      </c>
      <c r="G316" s="89">
        <v>0</v>
      </c>
      <c r="H316" s="89">
        <v>0</v>
      </c>
      <c r="I316" s="89">
        <v>0</v>
      </c>
      <c r="J316" s="89">
        <v>0</v>
      </c>
      <c r="K316" s="90">
        <v>0</v>
      </c>
      <c r="L316" s="89">
        <v>0</v>
      </c>
      <c r="M316" s="89">
        <v>796865</v>
      </c>
      <c r="N316" s="89">
        <v>0</v>
      </c>
      <c r="O316" s="89">
        <v>0</v>
      </c>
      <c r="P316" s="89">
        <v>0</v>
      </c>
      <c r="Q316" s="89">
        <v>0</v>
      </c>
      <c r="R316" s="89">
        <v>0</v>
      </c>
      <c r="S316" s="89">
        <v>0</v>
      </c>
      <c r="T316" s="89">
        <v>0</v>
      </c>
      <c r="U316" s="89">
        <v>0</v>
      </c>
      <c r="V316" s="89">
        <v>0</v>
      </c>
      <c r="W316" s="89">
        <v>0</v>
      </c>
      <c r="X316" s="89">
        <v>0</v>
      </c>
      <c r="Y316" s="89">
        <v>0</v>
      </c>
      <c r="Z316" s="89">
        <v>0</v>
      </c>
      <c r="AA316" s="89">
        <v>0</v>
      </c>
      <c r="AB316" s="88">
        <v>2020</v>
      </c>
    </row>
    <row r="317" spans="1:28" s="1" customFormat="1" ht="35.25" customHeight="1">
      <c r="A317" s="1">
        <v>1</v>
      </c>
      <c r="B317" s="38">
        <f>SUBTOTAL(103,$A$11:A317)</f>
        <v>302</v>
      </c>
      <c r="C317" s="82" t="s">
        <v>784</v>
      </c>
      <c r="D317" s="83">
        <f t="shared" si="12"/>
        <v>363729</v>
      </c>
      <c r="E317" s="89">
        <v>0</v>
      </c>
      <c r="F317" s="89">
        <v>0</v>
      </c>
      <c r="G317" s="89">
        <v>0</v>
      </c>
      <c r="H317" s="89">
        <v>0</v>
      </c>
      <c r="I317" s="89">
        <v>0</v>
      </c>
      <c r="J317" s="89">
        <v>0</v>
      </c>
      <c r="K317" s="90">
        <v>0</v>
      </c>
      <c r="L317" s="89">
        <v>0</v>
      </c>
      <c r="M317" s="89">
        <v>363729</v>
      </c>
      <c r="N317" s="89">
        <v>0</v>
      </c>
      <c r="O317" s="89">
        <v>0</v>
      </c>
      <c r="P317" s="89">
        <v>0</v>
      </c>
      <c r="Q317" s="89">
        <v>0</v>
      </c>
      <c r="R317" s="89">
        <v>0</v>
      </c>
      <c r="S317" s="89">
        <v>0</v>
      </c>
      <c r="T317" s="89">
        <v>0</v>
      </c>
      <c r="U317" s="89">
        <v>0</v>
      </c>
      <c r="V317" s="89">
        <v>0</v>
      </c>
      <c r="W317" s="89">
        <v>0</v>
      </c>
      <c r="X317" s="89">
        <v>0</v>
      </c>
      <c r="Y317" s="89">
        <v>0</v>
      </c>
      <c r="Z317" s="89">
        <v>0</v>
      </c>
      <c r="AA317" s="89">
        <v>0</v>
      </c>
      <c r="AB317" s="88">
        <v>2020</v>
      </c>
    </row>
    <row r="318" spans="1:28" s="1" customFormat="1" ht="35.25" customHeight="1">
      <c r="A318" s="1">
        <v>1</v>
      </c>
      <c r="B318" s="38">
        <f>SUBTOTAL(103,$A$11:A318)</f>
        <v>303</v>
      </c>
      <c r="C318" s="82" t="s">
        <v>785</v>
      </c>
      <c r="D318" s="83">
        <f t="shared" si="12"/>
        <v>294325</v>
      </c>
      <c r="E318" s="89">
        <v>0</v>
      </c>
      <c r="F318" s="89">
        <v>0</v>
      </c>
      <c r="G318" s="89">
        <v>0</v>
      </c>
      <c r="H318" s="89">
        <v>0</v>
      </c>
      <c r="I318" s="89">
        <v>0</v>
      </c>
      <c r="J318" s="89">
        <v>0</v>
      </c>
      <c r="K318" s="90">
        <v>0</v>
      </c>
      <c r="L318" s="89">
        <v>0</v>
      </c>
      <c r="M318" s="89">
        <v>0</v>
      </c>
      <c r="N318" s="89">
        <v>0</v>
      </c>
      <c r="O318" s="89">
        <v>294325</v>
      </c>
      <c r="P318" s="89">
        <v>0</v>
      </c>
      <c r="Q318" s="89">
        <v>0</v>
      </c>
      <c r="R318" s="89">
        <v>0</v>
      </c>
      <c r="S318" s="89">
        <v>0</v>
      </c>
      <c r="T318" s="89">
        <v>0</v>
      </c>
      <c r="U318" s="89">
        <v>0</v>
      </c>
      <c r="V318" s="89">
        <v>0</v>
      </c>
      <c r="W318" s="89">
        <v>0</v>
      </c>
      <c r="X318" s="89">
        <v>0</v>
      </c>
      <c r="Y318" s="89">
        <v>0</v>
      </c>
      <c r="Z318" s="89">
        <v>0</v>
      </c>
      <c r="AA318" s="89">
        <v>0</v>
      </c>
      <c r="AB318" s="88">
        <v>2020</v>
      </c>
    </row>
    <row r="319" spans="1:28" s="1" customFormat="1" ht="35.25" customHeight="1">
      <c r="A319" s="1">
        <v>1</v>
      </c>
      <c r="B319" s="38">
        <f>SUBTOTAL(103,$A$11:A319)</f>
        <v>304</v>
      </c>
      <c r="C319" s="82" t="s">
        <v>786</v>
      </c>
      <c r="D319" s="83">
        <f t="shared" si="12"/>
        <v>412286</v>
      </c>
      <c r="E319" s="89">
        <v>0</v>
      </c>
      <c r="F319" s="89">
        <v>0</v>
      </c>
      <c r="G319" s="89">
        <v>0</v>
      </c>
      <c r="H319" s="89">
        <v>0</v>
      </c>
      <c r="I319" s="89">
        <v>0</v>
      </c>
      <c r="J319" s="89">
        <v>0</v>
      </c>
      <c r="K319" s="90">
        <v>0</v>
      </c>
      <c r="L319" s="89">
        <v>0</v>
      </c>
      <c r="M319" s="89">
        <v>0</v>
      </c>
      <c r="N319" s="89">
        <v>0</v>
      </c>
      <c r="O319" s="89">
        <v>412286</v>
      </c>
      <c r="P319" s="89">
        <v>0</v>
      </c>
      <c r="Q319" s="89">
        <v>0</v>
      </c>
      <c r="R319" s="89">
        <v>0</v>
      </c>
      <c r="S319" s="89">
        <v>0</v>
      </c>
      <c r="T319" s="89">
        <v>0</v>
      </c>
      <c r="U319" s="89">
        <v>0</v>
      </c>
      <c r="V319" s="89">
        <v>0</v>
      </c>
      <c r="W319" s="89">
        <v>0</v>
      </c>
      <c r="X319" s="89">
        <v>0</v>
      </c>
      <c r="Y319" s="89">
        <v>0</v>
      </c>
      <c r="Z319" s="89">
        <v>0</v>
      </c>
      <c r="AA319" s="89">
        <v>0</v>
      </c>
      <c r="AB319" s="88">
        <v>2020</v>
      </c>
    </row>
    <row r="320" spans="1:28" s="1" customFormat="1" ht="35.25" customHeight="1">
      <c r="A320" s="1">
        <v>1</v>
      </c>
      <c r="B320" s="38">
        <f>SUBTOTAL(103,$A$11:A320)</f>
        <v>305</v>
      </c>
      <c r="C320" s="82" t="s">
        <v>787</v>
      </c>
      <c r="D320" s="83">
        <f t="shared" si="12"/>
        <v>544685</v>
      </c>
      <c r="E320" s="89">
        <v>0</v>
      </c>
      <c r="F320" s="89">
        <v>0</v>
      </c>
      <c r="G320" s="89">
        <v>0</v>
      </c>
      <c r="H320" s="89">
        <v>0</v>
      </c>
      <c r="I320" s="89">
        <v>0</v>
      </c>
      <c r="J320" s="89">
        <v>0</v>
      </c>
      <c r="K320" s="90">
        <v>0</v>
      </c>
      <c r="L320" s="89">
        <v>0</v>
      </c>
      <c r="M320" s="89">
        <v>0</v>
      </c>
      <c r="N320" s="89">
        <v>0</v>
      </c>
      <c r="O320" s="89">
        <v>544685</v>
      </c>
      <c r="P320" s="89">
        <v>0</v>
      </c>
      <c r="Q320" s="89">
        <v>0</v>
      </c>
      <c r="R320" s="89">
        <v>0</v>
      </c>
      <c r="S320" s="89">
        <v>0</v>
      </c>
      <c r="T320" s="89">
        <v>0</v>
      </c>
      <c r="U320" s="89">
        <v>0</v>
      </c>
      <c r="V320" s="89">
        <v>0</v>
      </c>
      <c r="W320" s="89">
        <v>0</v>
      </c>
      <c r="X320" s="89">
        <v>0</v>
      </c>
      <c r="Y320" s="89">
        <v>0</v>
      </c>
      <c r="Z320" s="89">
        <v>0</v>
      </c>
      <c r="AA320" s="89">
        <v>0</v>
      </c>
      <c r="AB320" s="88">
        <v>2020</v>
      </c>
    </row>
    <row r="321" spans="1:28" s="1" customFormat="1" ht="35.25" customHeight="1">
      <c r="A321" s="1">
        <v>1</v>
      </c>
      <c r="B321" s="38">
        <f>SUBTOTAL(103,$A$11:A321)</f>
        <v>306</v>
      </c>
      <c r="C321" s="82" t="s">
        <v>788</v>
      </c>
      <c r="D321" s="83">
        <f>E321+F321+G321+H321+I321+J321+L321+M321+N321+O321+P321+Q321+R321+S321+T321+U321+V321+W321+X321+Y321+Z321+AA321</f>
        <v>48000</v>
      </c>
      <c r="E321" s="89">
        <v>0</v>
      </c>
      <c r="F321" s="89">
        <v>0</v>
      </c>
      <c r="G321" s="89">
        <v>48000</v>
      </c>
      <c r="H321" s="89">
        <v>0</v>
      </c>
      <c r="I321" s="89">
        <v>0</v>
      </c>
      <c r="J321" s="89">
        <v>0</v>
      </c>
      <c r="K321" s="90">
        <v>0</v>
      </c>
      <c r="L321" s="89">
        <v>0</v>
      </c>
      <c r="M321" s="89">
        <v>0</v>
      </c>
      <c r="N321" s="89">
        <v>0</v>
      </c>
      <c r="O321" s="89">
        <v>0</v>
      </c>
      <c r="P321" s="89">
        <v>0</v>
      </c>
      <c r="Q321" s="89">
        <v>0</v>
      </c>
      <c r="R321" s="89">
        <v>0</v>
      </c>
      <c r="S321" s="89">
        <v>0</v>
      </c>
      <c r="T321" s="89">
        <v>0</v>
      </c>
      <c r="U321" s="89">
        <v>0</v>
      </c>
      <c r="V321" s="89">
        <v>0</v>
      </c>
      <c r="W321" s="89">
        <v>0</v>
      </c>
      <c r="X321" s="89">
        <v>0</v>
      </c>
      <c r="Y321" s="89">
        <v>0</v>
      </c>
      <c r="Z321" s="89">
        <v>0</v>
      </c>
      <c r="AA321" s="89">
        <v>0</v>
      </c>
      <c r="AB321" s="88">
        <v>2020</v>
      </c>
    </row>
    <row r="322" spans="1:28" s="1" customFormat="1" ht="35.25" customHeight="1">
      <c r="A322" s="1">
        <v>1</v>
      </c>
      <c r="B322" s="38">
        <f>SUBTOTAL(103,$A$11:A322)</f>
        <v>307</v>
      </c>
      <c r="C322" s="82" t="s">
        <v>789</v>
      </c>
      <c r="D322" s="83">
        <f>E322+F322+G322+H322+I322+J322+L322+M322+N322+O322+P322+Q322+R322+S322+T322+U322+V322+W322+X322+Y322+Z322+AA322</f>
        <v>46128</v>
      </c>
      <c r="E322" s="89">
        <v>0</v>
      </c>
      <c r="F322" s="89">
        <v>0</v>
      </c>
      <c r="G322" s="89">
        <v>46128</v>
      </c>
      <c r="H322" s="89">
        <v>0</v>
      </c>
      <c r="I322" s="89">
        <v>0</v>
      </c>
      <c r="J322" s="89">
        <v>0</v>
      </c>
      <c r="K322" s="90">
        <v>0</v>
      </c>
      <c r="L322" s="89">
        <v>0</v>
      </c>
      <c r="M322" s="89">
        <v>0</v>
      </c>
      <c r="N322" s="89">
        <v>0</v>
      </c>
      <c r="O322" s="89">
        <v>0</v>
      </c>
      <c r="P322" s="89">
        <v>0</v>
      </c>
      <c r="Q322" s="89">
        <v>0</v>
      </c>
      <c r="R322" s="89">
        <v>0</v>
      </c>
      <c r="S322" s="89">
        <v>0</v>
      </c>
      <c r="T322" s="89">
        <v>0</v>
      </c>
      <c r="U322" s="89">
        <v>0</v>
      </c>
      <c r="V322" s="89">
        <v>0</v>
      </c>
      <c r="W322" s="89">
        <v>0</v>
      </c>
      <c r="X322" s="89">
        <v>0</v>
      </c>
      <c r="Y322" s="89">
        <v>0</v>
      </c>
      <c r="Z322" s="89">
        <v>0</v>
      </c>
      <c r="AA322" s="89">
        <v>0</v>
      </c>
      <c r="AB322" s="88">
        <v>2020</v>
      </c>
    </row>
    <row r="323" spans="1:28" s="1" customFormat="1" ht="35.25" customHeight="1">
      <c r="A323" s="1">
        <v>1</v>
      </c>
      <c r="B323" s="38">
        <f>SUBTOTAL(103,$A$11:A323)</f>
        <v>308</v>
      </c>
      <c r="C323" s="82" t="s">
        <v>790</v>
      </c>
      <c r="D323" s="83">
        <f>E323+F323+G323+H323+I323+J323+L323+M323+N323+O323+P323+Q323+R323+S323+T323+U323+V323+W323+X323+Y323+Z323+AA323</f>
        <v>46128</v>
      </c>
      <c r="E323" s="89">
        <v>0</v>
      </c>
      <c r="F323" s="89">
        <v>0</v>
      </c>
      <c r="G323" s="89">
        <v>46128</v>
      </c>
      <c r="H323" s="89">
        <v>0</v>
      </c>
      <c r="I323" s="89">
        <v>0</v>
      </c>
      <c r="J323" s="89">
        <v>0</v>
      </c>
      <c r="K323" s="90">
        <v>0</v>
      </c>
      <c r="L323" s="89">
        <v>0</v>
      </c>
      <c r="M323" s="89">
        <v>0</v>
      </c>
      <c r="N323" s="89">
        <v>0</v>
      </c>
      <c r="O323" s="89">
        <v>0</v>
      </c>
      <c r="P323" s="89">
        <v>0</v>
      </c>
      <c r="Q323" s="89">
        <v>0</v>
      </c>
      <c r="R323" s="89">
        <v>0</v>
      </c>
      <c r="S323" s="89">
        <v>0</v>
      </c>
      <c r="T323" s="89">
        <v>0</v>
      </c>
      <c r="U323" s="89">
        <v>0</v>
      </c>
      <c r="V323" s="89">
        <v>0</v>
      </c>
      <c r="W323" s="89">
        <v>0</v>
      </c>
      <c r="X323" s="89">
        <v>0</v>
      </c>
      <c r="Y323" s="89">
        <v>0</v>
      </c>
      <c r="Z323" s="89">
        <v>0</v>
      </c>
      <c r="AA323" s="89">
        <v>0</v>
      </c>
      <c r="AB323" s="88">
        <v>2020</v>
      </c>
    </row>
    <row r="324" spans="1:28" s="1" customFormat="1" ht="35.25" customHeight="1">
      <c r="A324" s="1">
        <v>1</v>
      </c>
      <c r="B324" s="38">
        <f>SUBTOTAL(103,$A$11:A324)</f>
        <v>309</v>
      </c>
      <c r="C324" s="82" t="s">
        <v>791</v>
      </c>
      <c r="D324" s="83">
        <v>1146813</v>
      </c>
      <c r="E324" s="89">
        <v>0</v>
      </c>
      <c r="F324" s="89">
        <v>0</v>
      </c>
      <c r="G324" s="89">
        <v>0</v>
      </c>
      <c r="H324" s="89">
        <v>0</v>
      </c>
      <c r="I324" s="89">
        <v>0</v>
      </c>
      <c r="J324" s="89">
        <v>0</v>
      </c>
      <c r="K324" s="90">
        <v>0</v>
      </c>
      <c r="L324" s="89">
        <v>0</v>
      </c>
      <c r="M324" s="89">
        <v>1146813</v>
      </c>
      <c r="N324" s="89">
        <v>0</v>
      </c>
      <c r="O324" s="89">
        <v>0</v>
      </c>
      <c r="P324" s="89">
        <v>0</v>
      </c>
      <c r="Q324" s="89">
        <v>0</v>
      </c>
      <c r="R324" s="89">
        <v>0</v>
      </c>
      <c r="S324" s="89">
        <v>0</v>
      </c>
      <c r="T324" s="89">
        <v>0</v>
      </c>
      <c r="U324" s="89">
        <v>0</v>
      </c>
      <c r="V324" s="89">
        <v>0</v>
      </c>
      <c r="W324" s="89">
        <v>0</v>
      </c>
      <c r="X324" s="89">
        <v>0</v>
      </c>
      <c r="Y324" s="89">
        <v>0</v>
      </c>
      <c r="Z324" s="89">
        <v>0</v>
      </c>
      <c r="AA324" s="89">
        <v>0</v>
      </c>
      <c r="AB324" s="88">
        <v>2020</v>
      </c>
    </row>
    <row r="325" spans="1:28" s="1" customFormat="1" ht="35.25" customHeight="1">
      <c r="A325" s="1">
        <v>1</v>
      </c>
      <c r="B325" s="38">
        <f>SUBTOTAL(103,$A$11:A325)</f>
        <v>310</v>
      </c>
      <c r="C325" s="82" t="s">
        <v>792</v>
      </c>
      <c r="D325" s="83">
        <f>E325+F325+G325+H325+I325+J325+L325+M325+N325+O325+P325+Q325+R325+S325+T325+U325+V325+W325+X325+Y325+Z325+AA325</f>
        <v>1198042.8500000001</v>
      </c>
      <c r="E325" s="89">
        <v>0</v>
      </c>
      <c r="F325" s="89">
        <v>0</v>
      </c>
      <c r="G325" s="89">
        <v>0</v>
      </c>
      <c r="H325" s="89">
        <v>0</v>
      </c>
      <c r="I325" s="89">
        <v>0</v>
      </c>
      <c r="J325" s="89">
        <v>0</v>
      </c>
      <c r="K325" s="90">
        <v>0</v>
      </c>
      <c r="L325" s="89">
        <v>0</v>
      </c>
      <c r="M325" s="89">
        <v>0</v>
      </c>
      <c r="N325" s="89">
        <v>0</v>
      </c>
      <c r="O325" s="89">
        <v>1198042.8500000001</v>
      </c>
      <c r="P325" s="89">
        <v>0</v>
      </c>
      <c r="Q325" s="89">
        <v>0</v>
      </c>
      <c r="R325" s="89">
        <v>0</v>
      </c>
      <c r="S325" s="89">
        <v>0</v>
      </c>
      <c r="T325" s="89">
        <v>0</v>
      </c>
      <c r="U325" s="89">
        <v>0</v>
      </c>
      <c r="V325" s="89">
        <v>0</v>
      </c>
      <c r="W325" s="89">
        <v>0</v>
      </c>
      <c r="X325" s="89">
        <v>0</v>
      </c>
      <c r="Y325" s="89">
        <v>0</v>
      </c>
      <c r="Z325" s="89">
        <v>0</v>
      </c>
      <c r="AA325" s="89">
        <v>0</v>
      </c>
      <c r="AB325" s="88">
        <v>2020</v>
      </c>
    </row>
    <row r="326" spans="1:28" s="1" customFormat="1" ht="35.25" customHeight="1">
      <c r="B326" s="82" t="s">
        <v>508</v>
      </c>
      <c r="C326" s="82"/>
      <c r="D326" s="83">
        <f t="shared" ref="D326:AA326" si="13">SUM(D327:D330)</f>
        <v>1368433</v>
      </c>
      <c r="E326" s="83">
        <f t="shared" si="13"/>
        <v>0</v>
      </c>
      <c r="F326" s="83">
        <f t="shared" si="13"/>
        <v>0</v>
      </c>
      <c r="G326" s="83">
        <f t="shared" si="13"/>
        <v>0</v>
      </c>
      <c r="H326" s="83">
        <f t="shared" si="13"/>
        <v>0</v>
      </c>
      <c r="I326" s="83">
        <f t="shared" si="13"/>
        <v>914164</v>
      </c>
      <c r="J326" s="83">
        <f t="shared" si="13"/>
        <v>0</v>
      </c>
      <c r="K326" s="84">
        <f t="shared" si="13"/>
        <v>0</v>
      </c>
      <c r="L326" s="83">
        <f t="shared" si="13"/>
        <v>0</v>
      </c>
      <c r="M326" s="83">
        <f t="shared" si="13"/>
        <v>0</v>
      </c>
      <c r="N326" s="83">
        <f t="shared" si="13"/>
        <v>0</v>
      </c>
      <c r="O326" s="83">
        <f t="shared" si="13"/>
        <v>454269</v>
      </c>
      <c r="P326" s="83">
        <f t="shared" si="13"/>
        <v>0</v>
      </c>
      <c r="Q326" s="83">
        <f t="shared" si="13"/>
        <v>0</v>
      </c>
      <c r="R326" s="83">
        <f t="shared" si="13"/>
        <v>0</v>
      </c>
      <c r="S326" s="83">
        <f t="shared" si="13"/>
        <v>0</v>
      </c>
      <c r="T326" s="83">
        <f t="shared" si="13"/>
        <v>0</v>
      </c>
      <c r="U326" s="83">
        <f t="shared" si="13"/>
        <v>0</v>
      </c>
      <c r="V326" s="83">
        <f t="shared" si="13"/>
        <v>0</v>
      </c>
      <c r="W326" s="83">
        <f t="shared" si="13"/>
        <v>0</v>
      </c>
      <c r="X326" s="83">
        <f t="shared" si="13"/>
        <v>0</v>
      </c>
      <c r="Y326" s="83">
        <f t="shared" si="13"/>
        <v>0</v>
      </c>
      <c r="Z326" s="83">
        <f t="shared" si="13"/>
        <v>0</v>
      </c>
      <c r="AA326" s="83">
        <f t="shared" si="13"/>
        <v>0</v>
      </c>
      <c r="AB326" s="85" t="s">
        <v>131</v>
      </c>
    </row>
    <row r="327" spans="1:28" s="1" customFormat="1" ht="35.25" customHeight="1">
      <c r="A327" s="1">
        <v>1</v>
      </c>
      <c r="B327" s="38">
        <f>SUBTOTAL(103,$A$11:A327)</f>
        <v>311</v>
      </c>
      <c r="C327" s="82" t="s">
        <v>509</v>
      </c>
      <c r="D327" s="83">
        <f>E327+F327+G327+H327+I327+J327+L327+M327+N327+O327+P327+Q327+R327+S327+T327+U327+V327+W327+X327+Y327+Z327+AA327</f>
        <v>228541</v>
      </c>
      <c r="E327" s="86">
        <v>0</v>
      </c>
      <c r="F327" s="86">
        <v>0</v>
      </c>
      <c r="G327" s="86">
        <v>0</v>
      </c>
      <c r="H327" s="86">
        <v>0</v>
      </c>
      <c r="I327" s="86">
        <v>228541</v>
      </c>
      <c r="J327" s="86">
        <v>0</v>
      </c>
      <c r="K327" s="87">
        <v>0</v>
      </c>
      <c r="L327" s="86">
        <v>0</v>
      </c>
      <c r="M327" s="86">
        <v>0</v>
      </c>
      <c r="N327" s="86">
        <v>0</v>
      </c>
      <c r="O327" s="86">
        <v>0</v>
      </c>
      <c r="P327" s="86">
        <v>0</v>
      </c>
      <c r="Q327" s="86">
        <v>0</v>
      </c>
      <c r="R327" s="86">
        <v>0</v>
      </c>
      <c r="S327" s="86">
        <v>0</v>
      </c>
      <c r="T327" s="86">
        <v>0</v>
      </c>
      <c r="U327" s="86">
        <v>0</v>
      </c>
      <c r="V327" s="86">
        <v>0</v>
      </c>
      <c r="W327" s="86">
        <v>0</v>
      </c>
      <c r="X327" s="86">
        <v>0</v>
      </c>
      <c r="Y327" s="86">
        <v>0</v>
      </c>
      <c r="Z327" s="86">
        <v>0</v>
      </c>
      <c r="AA327" s="86">
        <v>0</v>
      </c>
      <c r="AB327" s="88">
        <v>2020</v>
      </c>
    </row>
    <row r="328" spans="1:28" s="1" customFormat="1" ht="35.25" customHeight="1">
      <c r="A328" s="1">
        <v>1</v>
      </c>
      <c r="B328" s="38">
        <f>SUBTOTAL(103,$A$11:A328)</f>
        <v>312</v>
      </c>
      <c r="C328" s="82" t="s">
        <v>510</v>
      </c>
      <c r="D328" s="83">
        <f>E328+F328+G328+H328+I328+J328+L328+M328+N328+O328+P328+Q328+R328+S328+T328+U328+V328+W328+X328+Y328+Z328+AA328</f>
        <v>228541</v>
      </c>
      <c r="E328" s="86">
        <v>0</v>
      </c>
      <c r="F328" s="86">
        <v>0</v>
      </c>
      <c r="G328" s="86">
        <v>0</v>
      </c>
      <c r="H328" s="86">
        <v>0</v>
      </c>
      <c r="I328" s="86">
        <v>228541</v>
      </c>
      <c r="J328" s="86">
        <v>0</v>
      </c>
      <c r="K328" s="87">
        <v>0</v>
      </c>
      <c r="L328" s="86">
        <v>0</v>
      </c>
      <c r="M328" s="86">
        <v>0</v>
      </c>
      <c r="N328" s="86">
        <v>0</v>
      </c>
      <c r="O328" s="86">
        <v>0</v>
      </c>
      <c r="P328" s="86">
        <v>0</v>
      </c>
      <c r="Q328" s="86">
        <v>0</v>
      </c>
      <c r="R328" s="86">
        <v>0</v>
      </c>
      <c r="S328" s="86">
        <v>0</v>
      </c>
      <c r="T328" s="86">
        <v>0</v>
      </c>
      <c r="U328" s="86">
        <v>0</v>
      </c>
      <c r="V328" s="86">
        <v>0</v>
      </c>
      <c r="W328" s="86">
        <v>0</v>
      </c>
      <c r="X328" s="86">
        <v>0</v>
      </c>
      <c r="Y328" s="86">
        <v>0</v>
      </c>
      <c r="Z328" s="86">
        <v>0</v>
      </c>
      <c r="AA328" s="86">
        <v>0</v>
      </c>
      <c r="AB328" s="88">
        <v>2020</v>
      </c>
    </row>
    <row r="329" spans="1:28" s="1" customFormat="1" ht="35.25" customHeight="1">
      <c r="A329" s="1">
        <v>1</v>
      </c>
      <c r="B329" s="38">
        <f>SUBTOTAL(103,$A$11:A329)</f>
        <v>313</v>
      </c>
      <c r="C329" s="82" t="s">
        <v>511</v>
      </c>
      <c r="D329" s="83">
        <f>E329+F329+G329+H329+I329+J329+L329+M329+N329+O329+P329+Q329+R329+S329+T329+U329+V329+W329+X329+Y329+Z329+AA329</f>
        <v>274766</v>
      </c>
      <c r="E329" s="86">
        <v>0</v>
      </c>
      <c r="F329" s="86">
        <v>0</v>
      </c>
      <c r="G329" s="86">
        <v>0</v>
      </c>
      <c r="H329" s="86">
        <v>0</v>
      </c>
      <c r="I329" s="86">
        <v>228541</v>
      </c>
      <c r="J329" s="86">
        <v>0</v>
      </c>
      <c r="K329" s="87">
        <v>0</v>
      </c>
      <c r="L329" s="86">
        <v>0</v>
      </c>
      <c r="M329" s="86">
        <v>0</v>
      </c>
      <c r="N329" s="86">
        <v>0</v>
      </c>
      <c r="O329" s="86">
        <v>46225</v>
      </c>
      <c r="P329" s="86">
        <v>0</v>
      </c>
      <c r="Q329" s="86">
        <v>0</v>
      </c>
      <c r="R329" s="86">
        <v>0</v>
      </c>
      <c r="S329" s="86">
        <v>0</v>
      </c>
      <c r="T329" s="86">
        <v>0</v>
      </c>
      <c r="U329" s="86">
        <v>0</v>
      </c>
      <c r="V329" s="86">
        <v>0</v>
      </c>
      <c r="W329" s="86">
        <v>0</v>
      </c>
      <c r="X329" s="86">
        <v>0</v>
      </c>
      <c r="Y329" s="86">
        <v>0</v>
      </c>
      <c r="Z329" s="86">
        <v>0</v>
      </c>
      <c r="AA329" s="86">
        <v>0</v>
      </c>
      <c r="AB329" s="88">
        <v>2020</v>
      </c>
    </row>
    <row r="330" spans="1:28" s="1" customFormat="1" ht="35.25" customHeight="1">
      <c r="A330" s="1">
        <v>1</v>
      </c>
      <c r="B330" s="38">
        <f>SUBTOTAL(103,$A$11:A330)</f>
        <v>314</v>
      </c>
      <c r="C330" s="82" t="s">
        <v>512</v>
      </c>
      <c r="D330" s="83">
        <f>E330+F330+G330+H330+I330+J330+L330+M330+N330+O330+P330+Q330+R330+S330+T330+U330+V330+W330+X330+Y330+Z330+AA330</f>
        <v>636585</v>
      </c>
      <c r="E330" s="86">
        <v>0</v>
      </c>
      <c r="F330" s="86">
        <v>0</v>
      </c>
      <c r="G330" s="86">
        <v>0</v>
      </c>
      <c r="H330" s="86">
        <v>0</v>
      </c>
      <c r="I330" s="86">
        <v>228541</v>
      </c>
      <c r="J330" s="86">
        <v>0</v>
      </c>
      <c r="K330" s="87">
        <v>0</v>
      </c>
      <c r="L330" s="86">
        <v>0</v>
      </c>
      <c r="M330" s="86">
        <v>0</v>
      </c>
      <c r="N330" s="86">
        <v>0</v>
      </c>
      <c r="O330" s="86">
        <v>408044</v>
      </c>
      <c r="P330" s="86">
        <v>0</v>
      </c>
      <c r="Q330" s="86">
        <v>0</v>
      </c>
      <c r="R330" s="86">
        <v>0</v>
      </c>
      <c r="S330" s="86">
        <v>0</v>
      </c>
      <c r="T330" s="86">
        <v>0</v>
      </c>
      <c r="U330" s="86">
        <v>0</v>
      </c>
      <c r="V330" s="86">
        <v>0</v>
      </c>
      <c r="W330" s="86">
        <v>0</v>
      </c>
      <c r="X330" s="86">
        <v>0</v>
      </c>
      <c r="Y330" s="86">
        <v>0</v>
      </c>
      <c r="Z330" s="86">
        <v>0</v>
      </c>
      <c r="AA330" s="86">
        <v>0</v>
      </c>
      <c r="AB330" s="88">
        <v>2020</v>
      </c>
    </row>
    <row r="331" spans="1:28" s="1" customFormat="1" ht="35.25" customHeight="1">
      <c r="B331" s="82" t="s">
        <v>130</v>
      </c>
      <c r="C331" s="82"/>
      <c r="D331" s="83">
        <f>D332</f>
        <v>797497</v>
      </c>
      <c r="E331" s="83">
        <f t="shared" ref="E331:AA331" si="14">E332</f>
        <v>0</v>
      </c>
      <c r="F331" s="83">
        <f t="shared" si="14"/>
        <v>0</v>
      </c>
      <c r="G331" s="83">
        <f t="shared" si="14"/>
        <v>0</v>
      </c>
      <c r="H331" s="83">
        <f t="shared" si="14"/>
        <v>0</v>
      </c>
      <c r="I331" s="83">
        <f t="shared" si="14"/>
        <v>0</v>
      </c>
      <c r="J331" s="83">
        <f t="shared" si="14"/>
        <v>0</v>
      </c>
      <c r="K331" s="87">
        <f t="shared" si="14"/>
        <v>0</v>
      </c>
      <c r="L331" s="83">
        <f t="shared" si="14"/>
        <v>0</v>
      </c>
      <c r="M331" s="83">
        <f t="shared" si="14"/>
        <v>797497</v>
      </c>
      <c r="N331" s="83">
        <f t="shared" si="14"/>
        <v>0</v>
      </c>
      <c r="O331" s="83">
        <f t="shared" si="14"/>
        <v>0</v>
      </c>
      <c r="P331" s="83">
        <f t="shared" si="14"/>
        <v>0</v>
      </c>
      <c r="Q331" s="83">
        <f t="shared" si="14"/>
        <v>0</v>
      </c>
      <c r="R331" s="83">
        <f t="shared" si="14"/>
        <v>0</v>
      </c>
      <c r="S331" s="83">
        <f t="shared" si="14"/>
        <v>0</v>
      </c>
      <c r="T331" s="83">
        <f t="shared" si="14"/>
        <v>0</v>
      </c>
      <c r="U331" s="83">
        <f t="shared" si="14"/>
        <v>0</v>
      </c>
      <c r="V331" s="83">
        <f t="shared" si="14"/>
        <v>0</v>
      </c>
      <c r="W331" s="83">
        <f t="shared" si="14"/>
        <v>0</v>
      </c>
      <c r="X331" s="83">
        <f t="shared" si="14"/>
        <v>0</v>
      </c>
      <c r="Y331" s="83">
        <f t="shared" si="14"/>
        <v>0</v>
      </c>
      <c r="Z331" s="83">
        <f t="shared" si="14"/>
        <v>0</v>
      </c>
      <c r="AA331" s="83">
        <f t="shared" si="14"/>
        <v>0</v>
      </c>
      <c r="AB331" s="85" t="s">
        <v>131</v>
      </c>
    </row>
    <row r="332" spans="1:28" s="1" customFormat="1" ht="35.25" customHeight="1">
      <c r="A332" s="1">
        <v>1</v>
      </c>
      <c r="B332" s="38">
        <f>SUBTOTAL(103,$A$11:A332)</f>
        <v>315</v>
      </c>
      <c r="C332" s="82" t="s">
        <v>793</v>
      </c>
      <c r="D332" s="83">
        <f>E332+F332+G332+H332+I332+J332+L332+M332+N332+O332+P332+Q332+R332+S332+T332+U332+V332+W332+X332+Y332+Z332+AA332</f>
        <v>797497</v>
      </c>
      <c r="E332" s="83">
        <v>0</v>
      </c>
      <c r="F332" s="83">
        <v>0</v>
      </c>
      <c r="G332" s="83">
        <v>0</v>
      </c>
      <c r="H332" s="83">
        <v>0</v>
      </c>
      <c r="I332" s="83">
        <v>0</v>
      </c>
      <c r="J332" s="83">
        <v>0</v>
      </c>
      <c r="K332" s="87">
        <v>0</v>
      </c>
      <c r="L332" s="83">
        <v>0</v>
      </c>
      <c r="M332" s="86">
        <v>797497</v>
      </c>
      <c r="N332" s="86">
        <v>0</v>
      </c>
      <c r="O332" s="86">
        <v>0</v>
      </c>
      <c r="P332" s="86">
        <v>0</v>
      </c>
      <c r="Q332" s="86">
        <v>0</v>
      </c>
      <c r="R332" s="86">
        <v>0</v>
      </c>
      <c r="S332" s="86">
        <v>0</v>
      </c>
      <c r="T332" s="86">
        <v>0</v>
      </c>
      <c r="U332" s="86">
        <v>0</v>
      </c>
      <c r="V332" s="86">
        <v>0</v>
      </c>
      <c r="W332" s="86">
        <v>0</v>
      </c>
      <c r="X332" s="86">
        <v>0</v>
      </c>
      <c r="Y332" s="86">
        <v>0</v>
      </c>
      <c r="Z332" s="86">
        <v>0</v>
      </c>
      <c r="AA332" s="86">
        <v>0</v>
      </c>
      <c r="AB332" s="88">
        <v>2020</v>
      </c>
    </row>
    <row r="333" spans="1:28" s="1" customFormat="1" ht="35.25" customHeight="1">
      <c r="B333" s="82" t="s">
        <v>104</v>
      </c>
      <c r="C333" s="82"/>
      <c r="D333" s="83">
        <f>SUM(D334)</f>
        <v>967981.25</v>
      </c>
      <c r="E333" s="83">
        <f t="shared" ref="E333:AA333" si="15">SUM(E334)</f>
        <v>0</v>
      </c>
      <c r="F333" s="83">
        <f t="shared" si="15"/>
        <v>0</v>
      </c>
      <c r="G333" s="83">
        <f t="shared" si="15"/>
        <v>0</v>
      </c>
      <c r="H333" s="83">
        <f t="shared" si="15"/>
        <v>0</v>
      </c>
      <c r="I333" s="83">
        <f t="shared" si="15"/>
        <v>0</v>
      </c>
      <c r="J333" s="83">
        <f t="shared" si="15"/>
        <v>0</v>
      </c>
      <c r="K333" s="87">
        <f t="shared" si="15"/>
        <v>0</v>
      </c>
      <c r="L333" s="83">
        <f t="shared" si="15"/>
        <v>0</v>
      </c>
      <c r="M333" s="83">
        <f t="shared" si="15"/>
        <v>967981.25</v>
      </c>
      <c r="N333" s="83">
        <f t="shared" si="15"/>
        <v>0</v>
      </c>
      <c r="O333" s="83">
        <f t="shared" si="15"/>
        <v>0</v>
      </c>
      <c r="P333" s="83">
        <f t="shared" si="15"/>
        <v>0</v>
      </c>
      <c r="Q333" s="83">
        <f t="shared" si="15"/>
        <v>0</v>
      </c>
      <c r="R333" s="83">
        <f t="shared" si="15"/>
        <v>0</v>
      </c>
      <c r="S333" s="83">
        <f t="shared" si="15"/>
        <v>0</v>
      </c>
      <c r="T333" s="83">
        <f t="shared" si="15"/>
        <v>0</v>
      </c>
      <c r="U333" s="83">
        <f t="shared" si="15"/>
        <v>0</v>
      </c>
      <c r="V333" s="83">
        <f t="shared" si="15"/>
        <v>0</v>
      </c>
      <c r="W333" s="83">
        <f t="shared" si="15"/>
        <v>0</v>
      </c>
      <c r="X333" s="83">
        <f t="shared" si="15"/>
        <v>0</v>
      </c>
      <c r="Y333" s="83">
        <f t="shared" si="15"/>
        <v>0</v>
      </c>
      <c r="Z333" s="83">
        <f t="shared" si="15"/>
        <v>0</v>
      </c>
      <c r="AA333" s="83">
        <f t="shared" si="15"/>
        <v>0</v>
      </c>
      <c r="AB333" s="85" t="s">
        <v>131</v>
      </c>
    </row>
    <row r="334" spans="1:28" s="1" customFormat="1" ht="35.25" customHeight="1">
      <c r="A334" s="1">
        <v>1</v>
      </c>
      <c r="B334" s="38">
        <f>SUBTOTAL(103,$A$11:A334)</f>
        <v>316</v>
      </c>
      <c r="C334" s="82" t="s">
        <v>513</v>
      </c>
      <c r="D334" s="83">
        <f>E334+F334+G334+H334+I334+J334+L334+M334+N334+O334+P334+Q334+R334+S334+T334+U334+V334+W334+X334+Y334+Z334+AA334</f>
        <v>967981.25</v>
      </c>
      <c r="E334" s="86">
        <v>0</v>
      </c>
      <c r="F334" s="86">
        <v>0</v>
      </c>
      <c r="G334" s="86">
        <v>0</v>
      </c>
      <c r="H334" s="86">
        <v>0</v>
      </c>
      <c r="I334" s="86">
        <v>0</v>
      </c>
      <c r="J334" s="86">
        <v>0</v>
      </c>
      <c r="K334" s="87">
        <v>0</v>
      </c>
      <c r="L334" s="86">
        <v>0</v>
      </c>
      <c r="M334" s="86">
        <v>967981.25</v>
      </c>
      <c r="N334" s="86">
        <v>0</v>
      </c>
      <c r="O334" s="86">
        <v>0</v>
      </c>
      <c r="P334" s="86">
        <v>0</v>
      </c>
      <c r="Q334" s="86">
        <v>0</v>
      </c>
      <c r="R334" s="86">
        <v>0</v>
      </c>
      <c r="S334" s="86">
        <v>0</v>
      </c>
      <c r="T334" s="86">
        <v>0</v>
      </c>
      <c r="U334" s="86">
        <v>0</v>
      </c>
      <c r="V334" s="86">
        <v>0</v>
      </c>
      <c r="W334" s="86">
        <v>0</v>
      </c>
      <c r="X334" s="86">
        <v>0</v>
      </c>
      <c r="Y334" s="86">
        <v>0</v>
      </c>
      <c r="Z334" s="86">
        <v>0</v>
      </c>
      <c r="AA334" s="86">
        <v>0</v>
      </c>
      <c r="AB334" s="88">
        <v>2020</v>
      </c>
    </row>
    <row r="335" spans="1:28" s="1" customFormat="1" ht="35.25" customHeight="1">
      <c r="B335" s="82" t="s">
        <v>108</v>
      </c>
      <c r="C335" s="82"/>
      <c r="D335" s="83">
        <f t="shared" ref="D335:AA335" si="16">SUM(D336:D367)</f>
        <v>29310905.41</v>
      </c>
      <c r="E335" s="83">
        <f t="shared" si="16"/>
        <v>303425.40000000002</v>
      </c>
      <c r="F335" s="83">
        <f t="shared" si="16"/>
        <v>673156.75</v>
      </c>
      <c r="G335" s="83">
        <f t="shared" si="16"/>
        <v>868590.84</v>
      </c>
      <c r="H335" s="83">
        <f t="shared" si="16"/>
        <v>212593.9</v>
      </c>
      <c r="I335" s="83">
        <f t="shared" si="16"/>
        <v>1549375.81</v>
      </c>
      <c r="J335" s="83">
        <f t="shared" si="16"/>
        <v>88420.66</v>
      </c>
      <c r="K335" s="84">
        <f t="shared" si="16"/>
        <v>10</v>
      </c>
      <c r="L335" s="83">
        <f t="shared" si="16"/>
        <v>18571829</v>
      </c>
      <c r="M335" s="83">
        <f t="shared" si="16"/>
        <v>3877975.5900000003</v>
      </c>
      <c r="N335" s="83">
        <f t="shared" si="16"/>
        <v>260392.57</v>
      </c>
      <c r="O335" s="83">
        <f t="shared" si="16"/>
        <v>2905144.89</v>
      </c>
      <c r="P335" s="83">
        <f t="shared" si="16"/>
        <v>0</v>
      </c>
      <c r="Q335" s="83">
        <f t="shared" si="16"/>
        <v>0</v>
      </c>
      <c r="R335" s="83">
        <f t="shared" si="16"/>
        <v>0</v>
      </c>
      <c r="S335" s="83">
        <f t="shared" si="16"/>
        <v>0</v>
      </c>
      <c r="T335" s="83">
        <f t="shared" si="16"/>
        <v>0</v>
      </c>
      <c r="U335" s="83">
        <f t="shared" si="16"/>
        <v>0</v>
      </c>
      <c r="V335" s="83">
        <f t="shared" si="16"/>
        <v>0</v>
      </c>
      <c r="W335" s="83">
        <f t="shared" si="16"/>
        <v>0</v>
      </c>
      <c r="X335" s="83">
        <f t="shared" si="16"/>
        <v>0</v>
      </c>
      <c r="Y335" s="83">
        <f t="shared" si="16"/>
        <v>0</v>
      </c>
      <c r="Z335" s="83">
        <f t="shared" si="16"/>
        <v>0</v>
      </c>
      <c r="AA335" s="83">
        <f t="shared" si="16"/>
        <v>0</v>
      </c>
      <c r="AB335" s="85" t="s">
        <v>131</v>
      </c>
    </row>
    <row r="336" spans="1:28" s="1" customFormat="1" ht="35.25" customHeight="1">
      <c r="A336" s="1">
        <v>1</v>
      </c>
      <c r="B336" s="38">
        <f>SUBTOTAL(103,$A$11:A336)</f>
        <v>317</v>
      </c>
      <c r="C336" s="82" t="s">
        <v>514</v>
      </c>
      <c r="D336" s="83">
        <f>E336+F336+G336+H336+I336+J336+L336+M336+N336+O336+P336+Q336+R336+S336+T336+U336+V336+W336+X336+Y336+Z336+AA336</f>
        <v>78900</v>
      </c>
      <c r="E336" s="86">
        <v>0</v>
      </c>
      <c r="F336" s="86">
        <v>0</v>
      </c>
      <c r="G336" s="86">
        <v>0</v>
      </c>
      <c r="H336" s="86">
        <v>0</v>
      </c>
      <c r="I336" s="86">
        <v>0</v>
      </c>
      <c r="J336" s="86">
        <v>0</v>
      </c>
      <c r="K336" s="87">
        <v>0</v>
      </c>
      <c r="L336" s="86">
        <v>0</v>
      </c>
      <c r="M336" s="86">
        <v>0</v>
      </c>
      <c r="N336" s="86">
        <v>0</v>
      </c>
      <c r="O336" s="86">
        <v>78900</v>
      </c>
      <c r="P336" s="86">
        <v>0</v>
      </c>
      <c r="Q336" s="86">
        <v>0</v>
      </c>
      <c r="R336" s="86">
        <v>0</v>
      </c>
      <c r="S336" s="86">
        <v>0</v>
      </c>
      <c r="T336" s="86">
        <v>0</v>
      </c>
      <c r="U336" s="86">
        <v>0</v>
      </c>
      <c r="V336" s="86">
        <v>0</v>
      </c>
      <c r="W336" s="86">
        <v>0</v>
      </c>
      <c r="X336" s="86">
        <v>0</v>
      </c>
      <c r="Y336" s="86">
        <v>0</v>
      </c>
      <c r="Z336" s="86">
        <v>0</v>
      </c>
      <c r="AA336" s="86">
        <v>0</v>
      </c>
      <c r="AB336" s="88">
        <v>2020</v>
      </c>
    </row>
    <row r="337" spans="1:28" s="1" customFormat="1" ht="35.25" customHeight="1">
      <c r="A337" s="1">
        <v>1</v>
      </c>
      <c r="B337" s="38">
        <f>SUBTOTAL(103,$A$11:A337)</f>
        <v>318</v>
      </c>
      <c r="C337" s="82" t="s">
        <v>516</v>
      </c>
      <c r="D337" s="83">
        <f t="shared" ref="D337:D353" si="17">E337+F337+G337+H337+I337+J337+L337+M337+N337+O337+P337+Q337+R337+S337+T337+U337+V337+W337+X337+Y337+Z337+AA337</f>
        <v>1538017.81</v>
      </c>
      <c r="E337" s="86">
        <v>0</v>
      </c>
      <c r="F337" s="86">
        <v>0</v>
      </c>
      <c r="G337" s="86">
        <v>0</v>
      </c>
      <c r="H337" s="86">
        <v>0</v>
      </c>
      <c r="I337" s="86">
        <f>1200009.16+338008.65</f>
        <v>1538017.81</v>
      </c>
      <c r="J337" s="86">
        <v>0</v>
      </c>
      <c r="K337" s="87">
        <v>0</v>
      </c>
      <c r="L337" s="86">
        <v>0</v>
      </c>
      <c r="M337" s="86">
        <v>0</v>
      </c>
      <c r="N337" s="86">
        <v>0</v>
      </c>
      <c r="O337" s="86">
        <v>0</v>
      </c>
      <c r="P337" s="86">
        <v>0</v>
      </c>
      <c r="Q337" s="86">
        <v>0</v>
      </c>
      <c r="R337" s="86">
        <v>0</v>
      </c>
      <c r="S337" s="86">
        <v>0</v>
      </c>
      <c r="T337" s="86">
        <v>0</v>
      </c>
      <c r="U337" s="86">
        <v>0</v>
      </c>
      <c r="V337" s="86">
        <v>0</v>
      </c>
      <c r="W337" s="86">
        <v>0</v>
      </c>
      <c r="X337" s="86">
        <v>0</v>
      </c>
      <c r="Y337" s="86">
        <v>0</v>
      </c>
      <c r="Z337" s="86">
        <v>0</v>
      </c>
      <c r="AA337" s="86">
        <v>0</v>
      </c>
      <c r="AB337" s="88">
        <v>2020</v>
      </c>
    </row>
    <row r="338" spans="1:28" s="1" customFormat="1" ht="35.25" customHeight="1">
      <c r="A338" s="1">
        <v>1</v>
      </c>
      <c r="B338" s="38">
        <f>SUBTOTAL(103,$A$11:A338)</f>
        <v>319</v>
      </c>
      <c r="C338" s="82" t="s">
        <v>517</v>
      </c>
      <c r="D338" s="83">
        <f t="shared" si="17"/>
        <v>132446</v>
      </c>
      <c r="E338" s="86">
        <v>0</v>
      </c>
      <c r="F338" s="86">
        <v>0</v>
      </c>
      <c r="G338" s="86">
        <v>0</v>
      </c>
      <c r="H338" s="86">
        <v>0</v>
      </c>
      <c r="I338" s="86">
        <v>0</v>
      </c>
      <c r="J338" s="86">
        <v>0</v>
      </c>
      <c r="K338" s="87">
        <v>0</v>
      </c>
      <c r="L338" s="86">
        <v>0</v>
      </c>
      <c r="M338" s="86">
        <v>0</v>
      </c>
      <c r="N338" s="86">
        <v>0</v>
      </c>
      <c r="O338" s="86">
        <v>132446</v>
      </c>
      <c r="P338" s="86">
        <v>0</v>
      </c>
      <c r="Q338" s="86">
        <v>0</v>
      </c>
      <c r="R338" s="86">
        <v>0</v>
      </c>
      <c r="S338" s="86">
        <v>0</v>
      </c>
      <c r="T338" s="86">
        <v>0</v>
      </c>
      <c r="U338" s="86">
        <v>0</v>
      </c>
      <c r="V338" s="86">
        <v>0</v>
      </c>
      <c r="W338" s="86">
        <v>0</v>
      </c>
      <c r="X338" s="86">
        <v>0</v>
      </c>
      <c r="Y338" s="86">
        <v>0</v>
      </c>
      <c r="Z338" s="86">
        <v>0</v>
      </c>
      <c r="AA338" s="86">
        <v>0</v>
      </c>
      <c r="AB338" s="88">
        <v>2020</v>
      </c>
    </row>
    <row r="339" spans="1:28" s="1" customFormat="1" ht="35.25" customHeight="1">
      <c r="A339" s="1">
        <v>1</v>
      </c>
      <c r="B339" s="38">
        <f>SUBTOTAL(103,$A$11:A339)</f>
        <v>320</v>
      </c>
      <c r="C339" s="82" t="s">
        <v>518</v>
      </c>
      <c r="D339" s="83">
        <f t="shared" si="17"/>
        <v>1103428.53</v>
      </c>
      <c r="E339" s="86">
        <v>0</v>
      </c>
      <c r="F339" s="86">
        <v>0</v>
      </c>
      <c r="G339" s="86">
        <v>0</v>
      </c>
      <c r="H339" s="86">
        <v>0</v>
      </c>
      <c r="I339" s="86">
        <v>0</v>
      </c>
      <c r="J339" s="86">
        <v>0</v>
      </c>
      <c r="K339" s="87">
        <v>0</v>
      </c>
      <c r="L339" s="86">
        <v>0</v>
      </c>
      <c r="M339" s="86">
        <v>1103428.53</v>
      </c>
      <c r="N339" s="86">
        <v>0</v>
      </c>
      <c r="O339" s="86">
        <v>0</v>
      </c>
      <c r="P339" s="86">
        <v>0</v>
      </c>
      <c r="Q339" s="86">
        <v>0</v>
      </c>
      <c r="R339" s="86">
        <v>0</v>
      </c>
      <c r="S339" s="86">
        <v>0</v>
      </c>
      <c r="T339" s="86">
        <v>0</v>
      </c>
      <c r="U339" s="86">
        <v>0</v>
      </c>
      <c r="V339" s="86">
        <v>0</v>
      </c>
      <c r="W339" s="86">
        <v>0</v>
      </c>
      <c r="X339" s="86">
        <v>0</v>
      </c>
      <c r="Y339" s="86">
        <v>0</v>
      </c>
      <c r="Z339" s="86">
        <v>0</v>
      </c>
      <c r="AA339" s="86">
        <v>0</v>
      </c>
      <c r="AB339" s="88">
        <v>2020</v>
      </c>
    </row>
    <row r="340" spans="1:28" s="1" customFormat="1" ht="35.25" customHeight="1">
      <c r="A340" s="1">
        <v>1</v>
      </c>
      <c r="B340" s="38">
        <f>SUBTOTAL(103,$A$11:A340)</f>
        <v>321</v>
      </c>
      <c r="C340" s="82" t="s">
        <v>519</v>
      </c>
      <c r="D340" s="83">
        <f t="shared" si="17"/>
        <v>270448.74</v>
      </c>
      <c r="E340" s="86">
        <v>0</v>
      </c>
      <c r="F340" s="86">
        <v>0</v>
      </c>
      <c r="G340" s="86">
        <v>0</v>
      </c>
      <c r="H340" s="86">
        <v>0</v>
      </c>
      <c r="I340" s="86">
        <v>0</v>
      </c>
      <c r="J340" s="86">
        <v>0</v>
      </c>
      <c r="K340" s="87">
        <v>0</v>
      </c>
      <c r="L340" s="86">
        <v>0</v>
      </c>
      <c r="M340" s="86">
        <v>0</v>
      </c>
      <c r="N340" s="86">
        <v>0</v>
      </c>
      <c r="O340" s="86">
        <v>270448.74</v>
      </c>
      <c r="P340" s="86">
        <v>0</v>
      </c>
      <c r="Q340" s="86">
        <v>0</v>
      </c>
      <c r="R340" s="86">
        <v>0</v>
      </c>
      <c r="S340" s="86">
        <v>0</v>
      </c>
      <c r="T340" s="86">
        <v>0</v>
      </c>
      <c r="U340" s="86">
        <v>0</v>
      </c>
      <c r="V340" s="86">
        <v>0</v>
      </c>
      <c r="W340" s="86">
        <v>0</v>
      </c>
      <c r="X340" s="86">
        <v>0</v>
      </c>
      <c r="Y340" s="86">
        <v>0</v>
      </c>
      <c r="Z340" s="86">
        <v>0</v>
      </c>
      <c r="AA340" s="86">
        <v>0</v>
      </c>
      <c r="AB340" s="88">
        <v>2020</v>
      </c>
    </row>
    <row r="341" spans="1:28" s="1" customFormat="1" ht="35.25" customHeight="1">
      <c r="A341" s="1">
        <v>1</v>
      </c>
      <c r="B341" s="38">
        <f>SUBTOTAL(103,$A$11:A341)</f>
        <v>322</v>
      </c>
      <c r="C341" s="82" t="s">
        <v>520</v>
      </c>
      <c r="D341" s="83">
        <f t="shared" si="17"/>
        <v>375408</v>
      </c>
      <c r="E341" s="86">
        <v>0</v>
      </c>
      <c r="F341" s="86">
        <v>0</v>
      </c>
      <c r="G341" s="86">
        <v>0</v>
      </c>
      <c r="H341" s="86">
        <v>0</v>
      </c>
      <c r="I341" s="86">
        <v>0</v>
      </c>
      <c r="J341" s="86">
        <v>0</v>
      </c>
      <c r="K341" s="87">
        <v>0</v>
      </c>
      <c r="L341" s="86">
        <v>0</v>
      </c>
      <c r="M341" s="86">
        <v>0</v>
      </c>
      <c r="N341" s="86">
        <v>0</v>
      </c>
      <c r="O341" s="86">
        <v>375408</v>
      </c>
      <c r="P341" s="86">
        <v>0</v>
      </c>
      <c r="Q341" s="86">
        <v>0</v>
      </c>
      <c r="R341" s="86">
        <v>0</v>
      </c>
      <c r="S341" s="86">
        <v>0</v>
      </c>
      <c r="T341" s="86">
        <v>0</v>
      </c>
      <c r="U341" s="86">
        <v>0</v>
      </c>
      <c r="V341" s="86">
        <v>0</v>
      </c>
      <c r="W341" s="86">
        <v>0</v>
      </c>
      <c r="X341" s="86">
        <v>0</v>
      </c>
      <c r="Y341" s="86">
        <v>0</v>
      </c>
      <c r="Z341" s="86">
        <v>0</v>
      </c>
      <c r="AA341" s="86">
        <v>0</v>
      </c>
      <c r="AB341" s="88">
        <v>2020</v>
      </c>
    </row>
    <row r="342" spans="1:28" s="1" customFormat="1" ht="35.25" customHeight="1">
      <c r="A342" s="1">
        <v>1</v>
      </c>
      <c r="B342" s="38">
        <f>SUBTOTAL(103,$A$11:A342)</f>
        <v>323</v>
      </c>
      <c r="C342" s="82" t="s">
        <v>407</v>
      </c>
      <c r="D342" s="83">
        <v>173538</v>
      </c>
      <c r="E342" s="86">
        <v>0</v>
      </c>
      <c r="F342" s="86">
        <v>0</v>
      </c>
      <c r="G342" s="86">
        <v>173538</v>
      </c>
      <c r="H342" s="86">
        <v>0</v>
      </c>
      <c r="I342" s="86">
        <v>0</v>
      </c>
      <c r="J342" s="86">
        <v>0</v>
      </c>
      <c r="K342" s="87">
        <v>0</v>
      </c>
      <c r="L342" s="86">
        <v>0</v>
      </c>
      <c r="M342" s="86">
        <v>0</v>
      </c>
      <c r="N342" s="86">
        <v>0</v>
      </c>
      <c r="O342" s="86">
        <v>0</v>
      </c>
      <c r="P342" s="86">
        <v>0</v>
      </c>
      <c r="Q342" s="86">
        <v>0</v>
      </c>
      <c r="R342" s="86">
        <v>0</v>
      </c>
      <c r="S342" s="86">
        <v>0</v>
      </c>
      <c r="T342" s="86">
        <v>0</v>
      </c>
      <c r="U342" s="86">
        <v>0</v>
      </c>
      <c r="V342" s="86">
        <v>0</v>
      </c>
      <c r="W342" s="86">
        <v>0</v>
      </c>
      <c r="X342" s="86">
        <v>0</v>
      </c>
      <c r="Y342" s="86">
        <v>0</v>
      </c>
      <c r="Z342" s="86">
        <v>0</v>
      </c>
      <c r="AA342" s="86">
        <v>0</v>
      </c>
      <c r="AB342" s="88">
        <v>2020</v>
      </c>
    </row>
    <row r="343" spans="1:28" s="1" customFormat="1" ht="35.25" customHeight="1">
      <c r="A343" s="1">
        <v>1</v>
      </c>
      <c r="B343" s="38">
        <f>SUBTOTAL(103,$A$11:A343)</f>
        <v>324</v>
      </c>
      <c r="C343" s="82" t="s">
        <v>521</v>
      </c>
      <c r="D343" s="83">
        <f t="shared" si="17"/>
        <v>2021829</v>
      </c>
      <c r="E343" s="86">
        <v>0</v>
      </c>
      <c r="F343" s="86">
        <v>0</v>
      </c>
      <c r="G343" s="86">
        <v>0</v>
      </c>
      <c r="H343" s="86">
        <v>0</v>
      </c>
      <c r="I343" s="86">
        <v>0</v>
      </c>
      <c r="J343" s="86">
        <v>0</v>
      </c>
      <c r="K343" s="87">
        <v>1</v>
      </c>
      <c r="L343" s="86">
        <v>2021829</v>
      </c>
      <c r="M343" s="86">
        <v>0</v>
      </c>
      <c r="N343" s="86">
        <v>0</v>
      </c>
      <c r="O343" s="86">
        <v>0</v>
      </c>
      <c r="P343" s="86">
        <v>0</v>
      </c>
      <c r="Q343" s="86">
        <v>0</v>
      </c>
      <c r="R343" s="86">
        <v>0</v>
      </c>
      <c r="S343" s="86">
        <v>0</v>
      </c>
      <c r="T343" s="86">
        <v>0</v>
      </c>
      <c r="U343" s="86">
        <v>0</v>
      </c>
      <c r="V343" s="86">
        <v>0</v>
      </c>
      <c r="W343" s="86">
        <v>0</v>
      </c>
      <c r="X343" s="86">
        <v>0</v>
      </c>
      <c r="Y343" s="86">
        <v>0</v>
      </c>
      <c r="Z343" s="86">
        <v>0</v>
      </c>
      <c r="AA343" s="86">
        <v>0</v>
      </c>
      <c r="AB343" s="88">
        <v>2020</v>
      </c>
    </row>
    <row r="344" spans="1:28" s="1" customFormat="1" ht="35.25" customHeight="1">
      <c r="A344" s="1">
        <v>1</v>
      </c>
      <c r="B344" s="38">
        <f>SUBTOTAL(103,$A$11:A344)</f>
        <v>325</v>
      </c>
      <c r="C344" s="82" t="s">
        <v>522</v>
      </c>
      <c r="D344" s="83">
        <f t="shared" si="17"/>
        <v>1870000</v>
      </c>
      <c r="E344" s="86">
        <v>0</v>
      </c>
      <c r="F344" s="86">
        <v>0</v>
      </c>
      <c r="G344" s="86">
        <v>0</v>
      </c>
      <c r="H344" s="86">
        <v>0</v>
      </c>
      <c r="I344" s="86">
        <v>0</v>
      </c>
      <c r="J344" s="86">
        <v>0</v>
      </c>
      <c r="K344" s="87">
        <v>1</v>
      </c>
      <c r="L344" s="86">
        <v>1870000</v>
      </c>
      <c r="M344" s="86">
        <v>0</v>
      </c>
      <c r="N344" s="86">
        <v>0</v>
      </c>
      <c r="O344" s="86">
        <v>0</v>
      </c>
      <c r="P344" s="86">
        <v>0</v>
      </c>
      <c r="Q344" s="86">
        <v>0</v>
      </c>
      <c r="R344" s="86">
        <v>0</v>
      </c>
      <c r="S344" s="86">
        <v>0</v>
      </c>
      <c r="T344" s="86">
        <v>0</v>
      </c>
      <c r="U344" s="86">
        <v>0</v>
      </c>
      <c r="V344" s="86">
        <v>0</v>
      </c>
      <c r="W344" s="86">
        <v>0</v>
      </c>
      <c r="X344" s="86">
        <v>0</v>
      </c>
      <c r="Y344" s="86">
        <v>0</v>
      </c>
      <c r="Z344" s="86">
        <v>0</v>
      </c>
      <c r="AA344" s="86">
        <v>0</v>
      </c>
      <c r="AB344" s="88">
        <v>2020</v>
      </c>
    </row>
    <row r="345" spans="1:28" s="1" customFormat="1" ht="35.25" customHeight="1">
      <c r="A345" s="1">
        <v>1</v>
      </c>
      <c r="B345" s="38">
        <f>SUBTOTAL(103,$A$11:A345)</f>
        <v>326</v>
      </c>
      <c r="C345" s="82" t="s">
        <v>523</v>
      </c>
      <c r="D345" s="83">
        <f t="shared" si="17"/>
        <v>1850000</v>
      </c>
      <c r="E345" s="86">
        <v>0</v>
      </c>
      <c r="F345" s="86">
        <v>0</v>
      </c>
      <c r="G345" s="86">
        <v>0</v>
      </c>
      <c r="H345" s="86">
        <v>0</v>
      </c>
      <c r="I345" s="86">
        <v>0</v>
      </c>
      <c r="J345" s="86">
        <v>0</v>
      </c>
      <c r="K345" s="87">
        <v>1</v>
      </c>
      <c r="L345" s="86">
        <v>1850000</v>
      </c>
      <c r="M345" s="86">
        <v>0</v>
      </c>
      <c r="N345" s="86">
        <v>0</v>
      </c>
      <c r="O345" s="86">
        <v>0</v>
      </c>
      <c r="P345" s="86">
        <v>0</v>
      </c>
      <c r="Q345" s="86">
        <v>0</v>
      </c>
      <c r="R345" s="86">
        <v>0</v>
      </c>
      <c r="S345" s="86">
        <v>0</v>
      </c>
      <c r="T345" s="86">
        <v>0</v>
      </c>
      <c r="U345" s="86">
        <v>0</v>
      </c>
      <c r="V345" s="86">
        <v>0</v>
      </c>
      <c r="W345" s="86">
        <v>0</v>
      </c>
      <c r="X345" s="86">
        <v>0</v>
      </c>
      <c r="Y345" s="86">
        <v>0</v>
      </c>
      <c r="Z345" s="86">
        <v>0</v>
      </c>
      <c r="AA345" s="86">
        <v>0</v>
      </c>
      <c r="AB345" s="88">
        <v>2020</v>
      </c>
    </row>
    <row r="346" spans="1:28" s="1" customFormat="1" ht="35.25" customHeight="1">
      <c r="A346" s="1">
        <v>1</v>
      </c>
      <c r="B346" s="38">
        <f>SUBTOTAL(103,$A$11:A346)</f>
        <v>327</v>
      </c>
      <c r="C346" s="82" t="s">
        <v>524</v>
      </c>
      <c r="D346" s="83">
        <f t="shared" si="17"/>
        <v>1870000</v>
      </c>
      <c r="E346" s="86">
        <v>0</v>
      </c>
      <c r="F346" s="86">
        <v>0</v>
      </c>
      <c r="G346" s="86">
        <v>0</v>
      </c>
      <c r="H346" s="86">
        <v>0</v>
      </c>
      <c r="I346" s="86">
        <v>0</v>
      </c>
      <c r="J346" s="86">
        <v>0</v>
      </c>
      <c r="K346" s="87">
        <v>1</v>
      </c>
      <c r="L346" s="86">
        <v>1870000</v>
      </c>
      <c r="M346" s="86">
        <v>0</v>
      </c>
      <c r="N346" s="86">
        <v>0</v>
      </c>
      <c r="O346" s="86">
        <v>0</v>
      </c>
      <c r="P346" s="86">
        <v>0</v>
      </c>
      <c r="Q346" s="86">
        <v>0</v>
      </c>
      <c r="R346" s="86">
        <v>0</v>
      </c>
      <c r="S346" s="86">
        <v>0</v>
      </c>
      <c r="T346" s="86">
        <v>0</v>
      </c>
      <c r="U346" s="86">
        <v>0</v>
      </c>
      <c r="V346" s="86">
        <v>0</v>
      </c>
      <c r="W346" s="86">
        <v>0</v>
      </c>
      <c r="X346" s="86">
        <v>0</v>
      </c>
      <c r="Y346" s="86">
        <v>0</v>
      </c>
      <c r="Z346" s="86">
        <v>0</v>
      </c>
      <c r="AA346" s="86">
        <v>0</v>
      </c>
      <c r="AB346" s="88">
        <v>2020</v>
      </c>
    </row>
    <row r="347" spans="1:28" s="1" customFormat="1" ht="35.25" customHeight="1">
      <c r="A347" s="1">
        <v>1</v>
      </c>
      <c r="B347" s="38">
        <f>SUBTOTAL(103,$A$11:A347)</f>
        <v>328</v>
      </c>
      <c r="C347" s="82" t="s">
        <v>525</v>
      </c>
      <c r="D347" s="83">
        <f t="shared" si="17"/>
        <v>1870000</v>
      </c>
      <c r="E347" s="86">
        <v>0</v>
      </c>
      <c r="F347" s="86">
        <v>0</v>
      </c>
      <c r="G347" s="86">
        <v>0</v>
      </c>
      <c r="H347" s="86">
        <v>0</v>
      </c>
      <c r="I347" s="86">
        <v>0</v>
      </c>
      <c r="J347" s="86">
        <v>0</v>
      </c>
      <c r="K347" s="87">
        <v>1</v>
      </c>
      <c r="L347" s="86">
        <v>1870000</v>
      </c>
      <c r="M347" s="86">
        <v>0</v>
      </c>
      <c r="N347" s="86">
        <v>0</v>
      </c>
      <c r="O347" s="86">
        <v>0</v>
      </c>
      <c r="P347" s="86">
        <v>0</v>
      </c>
      <c r="Q347" s="86">
        <v>0</v>
      </c>
      <c r="R347" s="86">
        <v>0</v>
      </c>
      <c r="S347" s="86">
        <v>0</v>
      </c>
      <c r="T347" s="86">
        <v>0</v>
      </c>
      <c r="U347" s="86">
        <v>0</v>
      </c>
      <c r="V347" s="86">
        <v>0</v>
      </c>
      <c r="W347" s="86">
        <v>0</v>
      </c>
      <c r="X347" s="86">
        <v>0</v>
      </c>
      <c r="Y347" s="86">
        <v>0</v>
      </c>
      <c r="Z347" s="86">
        <v>0</v>
      </c>
      <c r="AA347" s="86">
        <v>0</v>
      </c>
      <c r="AB347" s="88">
        <v>2020</v>
      </c>
    </row>
    <row r="348" spans="1:28" s="1" customFormat="1" ht="35.25" customHeight="1">
      <c r="A348" s="1">
        <v>1</v>
      </c>
      <c r="B348" s="38">
        <f>SUBTOTAL(103,$A$11:A348)</f>
        <v>329</v>
      </c>
      <c r="C348" s="82" t="s">
        <v>526</v>
      </c>
      <c r="D348" s="83">
        <f t="shared" si="17"/>
        <v>5250000</v>
      </c>
      <c r="E348" s="86">
        <v>0</v>
      </c>
      <c r="F348" s="86">
        <v>0</v>
      </c>
      <c r="G348" s="86">
        <v>0</v>
      </c>
      <c r="H348" s="86">
        <v>0</v>
      </c>
      <c r="I348" s="86">
        <v>0</v>
      </c>
      <c r="J348" s="86">
        <v>0</v>
      </c>
      <c r="K348" s="87">
        <v>3</v>
      </c>
      <c r="L348" s="86">
        <v>5250000</v>
      </c>
      <c r="M348" s="86">
        <v>0</v>
      </c>
      <c r="N348" s="86">
        <v>0</v>
      </c>
      <c r="O348" s="86">
        <v>0</v>
      </c>
      <c r="P348" s="86">
        <v>0</v>
      </c>
      <c r="Q348" s="86">
        <v>0</v>
      </c>
      <c r="R348" s="86">
        <v>0</v>
      </c>
      <c r="S348" s="86">
        <v>0</v>
      </c>
      <c r="T348" s="86">
        <v>0</v>
      </c>
      <c r="U348" s="86">
        <v>0</v>
      </c>
      <c r="V348" s="86">
        <v>0</v>
      </c>
      <c r="W348" s="86">
        <v>0</v>
      </c>
      <c r="X348" s="86">
        <v>0</v>
      </c>
      <c r="Y348" s="86">
        <v>0</v>
      </c>
      <c r="Z348" s="86">
        <v>0</v>
      </c>
      <c r="AA348" s="86">
        <v>0</v>
      </c>
      <c r="AB348" s="88">
        <v>2020</v>
      </c>
    </row>
    <row r="349" spans="1:28" s="1" customFormat="1" ht="35.25" customHeight="1">
      <c r="A349" s="1">
        <v>1</v>
      </c>
      <c r="B349" s="38">
        <f>SUBTOTAL(103,$A$11:A349)</f>
        <v>330</v>
      </c>
      <c r="C349" s="82" t="s">
        <v>527</v>
      </c>
      <c r="D349" s="83">
        <f t="shared" si="17"/>
        <v>3840000</v>
      </c>
      <c r="E349" s="86">
        <v>0</v>
      </c>
      <c r="F349" s="86">
        <v>0</v>
      </c>
      <c r="G349" s="86">
        <v>0</v>
      </c>
      <c r="H349" s="86">
        <v>0</v>
      </c>
      <c r="I349" s="86">
        <v>0</v>
      </c>
      <c r="J349" s="86">
        <v>0</v>
      </c>
      <c r="K349" s="87">
        <v>2</v>
      </c>
      <c r="L349" s="86">
        <v>3840000</v>
      </c>
      <c r="M349" s="86">
        <v>0</v>
      </c>
      <c r="N349" s="86">
        <v>0</v>
      </c>
      <c r="O349" s="86">
        <v>0</v>
      </c>
      <c r="P349" s="86">
        <v>0</v>
      </c>
      <c r="Q349" s="86">
        <v>0</v>
      </c>
      <c r="R349" s="86">
        <v>0</v>
      </c>
      <c r="S349" s="86">
        <v>0</v>
      </c>
      <c r="T349" s="86">
        <v>0</v>
      </c>
      <c r="U349" s="86">
        <v>0</v>
      </c>
      <c r="V349" s="86">
        <v>0</v>
      </c>
      <c r="W349" s="86">
        <v>0</v>
      </c>
      <c r="X349" s="86">
        <v>0</v>
      </c>
      <c r="Y349" s="86">
        <v>0</v>
      </c>
      <c r="Z349" s="86">
        <v>0</v>
      </c>
      <c r="AA349" s="86">
        <v>0</v>
      </c>
      <c r="AB349" s="88">
        <v>2020</v>
      </c>
    </row>
    <row r="350" spans="1:28" s="1" customFormat="1" ht="35.25" customHeight="1">
      <c r="A350" s="1">
        <v>1</v>
      </c>
      <c r="B350" s="38">
        <f>SUBTOTAL(103,$A$11:A350)</f>
        <v>331</v>
      </c>
      <c r="C350" s="82" t="s">
        <v>794</v>
      </c>
      <c r="D350" s="83">
        <f t="shared" si="17"/>
        <v>243223.66</v>
      </c>
      <c r="E350" s="86">
        <v>0</v>
      </c>
      <c r="F350" s="86">
        <v>154803</v>
      </c>
      <c r="G350" s="86">
        <v>0</v>
      </c>
      <c r="H350" s="86">
        <v>0</v>
      </c>
      <c r="I350" s="86">
        <v>0</v>
      </c>
      <c r="J350" s="86">
        <v>88420.66</v>
      </c>
      <c r="K350" s="87">
        <v>0</v>
      </c>
      <c r="L350" s="86">
        <v>0</v>
      </c>
      <c r="M350" s="86">
        <v>0</v>
      </c>
      <c r="N350" s="86">
        <v>0</v>
      </c>
      <c r="O350" s="86">
        <v>0</v>
      </c>
      <c r="P350" s="86">
        <v>0</v>
      </c>
      <c r="Q350" s="86">
        <v>0</v>
      </c>
      <c r="R350" s="86">
        <v>0</v>
      </c>
      <c r="S350" s="86">
        <v>0</v>
      </c>
      <c r="T350" s="86">
        <v>0</v>
      </c>
      <c r="U350" s="86">
        <v>0</v>
      </c>
      <c r="V350" s="86">
        <v>0</v>
      </c>
      <c r="W350" s="86">
        <v>0</v>
      </c>
      <c r="X350" s="86">
        <v>0</v>
      </c>
      <c r="Y350" s="86">
        <v>0</v>
      </c>
      <c r="Z350" s="86">
        <v>0</v>
      </c>
      <c r="AA350" s="86">
        <v>0</v>
      </c>
      <c r="AB350" s="88">
        <v>2020</v>
      </c>
    </row>
    <row r="351" spans="1:28" s="1" customFormat="1" ht="35.25" customHeight="1">
      <c r="A351" s="1">
        <v>1</v>
      </c>
      <c r="B351" s="38">
        <f>SUBTOTAL(103,$A$11:A351)</f>
        <v>332</v>
      </c>
      <c r="C351" s="82" t="s">
        <v>515</v>
      </c>
      <c r="D351" s="83">
        <f t="shared" si="17"/>
        <v>228600</v>
      </c>
      <c r="E351" s="86">
        <v>0</v>
      </c>
      <c r="F351" s="86">
        <v>0</v>
      </c>
      <c r="G351" s="86">
        <v>0</v>
      </c>
      <c r="H351" s="86">
        <v>0</v>
      </c>
      <c r="I351" s="86">
        <v>0</v>
      </c>
      <c r="J351" s="86">
        <v>0</v>
      </c>
      <c r="K351" s="87">
        <v>0</v>
      </c>
      <c r="L351" s="86">
        <v>0</v>
      </c>
      <c r="M351" s="86">
        <v>0</v>
      </c>
      <c r="N351" s="86">
        <v>0</v>
      </c>
      <c r="O351" s="86">
        <v>228600</v>
      </c>
      <c r="P351" s="86">
        <v>0</v>
      </c>
      <c r="Q351" s="86">
        <v>0</v>
      </c>
      <c r="R351" s="86">
        <v>0</v>
      </c>
      <c r="S351" s="86">
        <v>0</v>
      </c>
      <c r="T351" s="86">
        <v>0</v>
      </c>
      <c r="U351" s="86">
        <v>0</v>
      </c>
      <c r="V351" s="86">
        <v>0</v>
      </c>
      <c r="W351" s="86">
        <v>0</v>
      </c>
      <c r="X351" s="86">
        <v>0</v>
      </c>
      <c r="Y351" s="86">
        <v>0</v>
      </c>
      <c r="Z351" s="86">
        <v>0</v>
      </c>
      <c r="AA351" s="86">
        <v>0</v>
      </c>
      <c r="AB351" s="88">
        <v>2020</v>
      </c>
    </row>
    <row r="352" spans="1:28" s="1" customFormat="1" ht="35.25" customHeight="1">
      <c r="A352" s="1">
        <v>1</v>
      </c>
      <c r="B352" s="38">
        <f>SUBTOTAL(103,$A$11:A352)</f>
        <v>333</v>
      </c>
      <c r="C352" s="82" t="s">
        <v>795</v>
      </c>
      <c r="D352" s="83">
        <f t="shared" si="17"/>
        <v>590355.86</v>
      </c>
      <c r="E352" s="86">
        <v>0</v>
      </c>
      <c r="F352" s="86">
        <v>0</v>
      </c>
      <c r="G352" s="86">
        <v>0</v>
      </c>
      <c r="H352" s="86">
        <v>0</v>
      </c>
      <c r="I352" s="86">
        <v>0</v>
      </c>
      <c r="J352" s="86">
        <v>0</v>
      </c>
      <c r="K352" s="87">
        <v>0</v>
      </c>
      <c r="L352" s="86">
        <v>0</v>
      </c>
      <c r="M352" s="86">
        <v>0</v>
      </c>
      <c r="N352" s="86">
        <v>0</v>
      </c>
      <c r="O352" s="86">
        <v>590355.86</v>
      </c>
      <c r="P352" s="86">
        <v>0</v>
      </c>
      <c r="Q352" s="86">
        <v>0</v>
      </c>
      <c r="R352" s="86">
        <v>0</v>
      </c>
      <c r="S352" s="86">
        <v>0</v>
      </c>
      <c r="T352" s="86">
        <v>0</v>
      </c>
      <c r="U352" s="86">
        <v>0</v>
      </c>
      <c r="V352" s="86">
        <v>0</v>
      </c>
      <c r="W352" s="86">
        <v>0</v>
      </c>
      <c r="X352" s="86">
        <v>0</v>
      </c>
      <c r="Y352" s="86">
        <v>0</v>
      </c>
      <c r="Z352" s="86">
        <v>0</v>
      </c>
      <c r="AA352" s="86">
        <v>0</v>
      </c>
      <c r="AB352" s="88">
        <v>2020</v>
      </c>
    </row>
    <row r="353" spans="1:28" s="1" customFormat="1" ht="35.25" customHeight="1">
      <c r="A353" s="1">
        <v>1</v>
      </c>
      <c r="B353" s="38">
        <f>SUBTOTAL(103,$A$11:A353)</f>
        <v>334</v>
      </c>
      <c r="C353" s="82" t="s">
        <v>796</v>
      </c>
      <c r="D353" s="83">
        <f t="shared" si="17"/>
        <v>245204</v>
      </c>
      <c r="E353" s="86">
        <v>0</v>
      </c>
      <c r="F353" s="86">
        <v>0</v>
      </c>
      <c r="G353" s="86">
        <v>0</v>
      </c>
      <c r="H353" s="86">
        <v>0</v>
      </c>
      <c r="I353" s="86">
        <v>0</v>
      </c>
      <c r="J353" s="86">
        <v>0</v>
      </c>
      <c r="K353" s="87">
        <v>0</v>
      </c>
      <c r="L353" s="86">
        <v>0</v>
      </c>
      <c r="M353" s="86">
        <v>245204</v>
      </c>
      <c r="N353" s="86">
        <v>0</v>
      </c>
      <c r="O353" s="86">
        <v>0</v>
      </c>
      <c r="P353" s="86">
        <v>0</v>
      </c>
      <c r="Q353" s="86">
        <v>0</v>
      </c>
      <c r="R353" s="86">
        <v>0</v>
      </c>
      <c r="S353" s="86">
        <v>0</v>
      </c>
      <c r="T353" s="86">
        <v>0</v>
      </c>
      <c r="U353" s="86">
        <v>0</v>
      </c>
      <c r="V353" s="86">
        <v>0</v>
      </c>
      <c r="W353" s="86">
        <v>0</v>
      </c>
      <c r="X353" s="86">
        <v>0</v>
      </c>
      <c r="Y353" s="86">
        <v>0</v>
      </c>
      <c r="Z353" s="86">
        <v>0</v>
      </c>
      <c r="AA353" s="86">
        <v>0</v>
      </c>
      <c r="AB353" s="88">
        <v>2020</v>
      </c>
    </row>
    <row r="354" spans="1:28" s="1" customFormat="1" ht="35.25" customHeight="1">
      <c r="A354" s="1">
        <v>1</v>
      </c>
      <c r="B354" s="38">
        <f>SUBTOTAL(103,$A$11:A354)</f>
        <v>335</v>
      </c>
      <c r="C354" s="82" t="s">
        <v>797</v>
      </c>
      <c r="D354" s="83">
        <f>E354+F354+G354+H354+I354+J354+L354+M354+N354+O354+P354+Q354+R354+S354+T354+U354+V354+W354+X354+Y354+Z354+AA354</f>
        <v>320012</v>
      </c>
      <c r="E354" s="86">
        <v>0</v>
      </c>
      <c r="F354" s="86">
        <v>0</v>
      </c>
      <c r="G354" s="86">
        <v>0</v>
      </c>
      <c r="H354" s="86">
        <v>0</v>
      </c>
      <c r="I354" s="86">
        <v>0</v>
      </c>
      <c r="J354" s="86">
        <v>0</v>
      </c>
      <c r="K354" s="87">
        <v>0</v>
      </c>
      <c r="L354" s="86">
        <v>0</v>
      </c>
      <c r="M354" s="86">
        <v>0</v>
      </c>
      <c r="N354" s="86">
        <v>0</v>
      </c>
      <c r="O354" s="86">
        <v>320012</v>
      </c>
      <c r="P354" s="86">
        <v>0</v>
      </c>
      <c r="Q354" s="86">
        <v>0</v>
      </c>
      <c r="R354" s="86">
        <v>0</v>
      </c>
      <c r="S354" s="86">
        <v>0</v>
      </c>
      <c r="T354" s="86">
        <v>0</v>
      </c>
      <c r="U354" s="86">
        <v>0</v>
      </c>
      <c r="V354" s="86">
        <v>0</v>
      </c>
      <c r="W354" s="86">
        <v>0</v>
      </c>
      <c r="X354" s="86">
        <v>0</v>
      </c>
      <c r="Y354" s="86">
        <v>0</v>
      </c>
      <c r="Z354" s="86">
        <v>0</v>
      </c>
      <c r="AA354" s="86">
        <v>0</v>
      </c>
      <c r="AB354" s="88">
        <v>2020</v>
      </c>
    </row>
    <row r="355" spans="1:28" s="1" customFormat="1" ht="35.25" customHeight="1">
      <c r="A355" s="1">
        <v>1</v>
      </c>
      <c r="B355" s="38">
        <f>SUBTOTAL(103,$A$11:A355)</f>
        <v>336</v>
      </c>
      <c r="C355" s="82" t="s">
        <v>798</v>
      </c>
      <c r="D355" s="83">
        <f>E355+F355+G355+H355+I355+J355+L355+M355+N355+O355+P355+Q355+R355+S355+T355+U355+V355+W355+X355+Y355+Z355+AA355</f>
        <v>810000</v>
      </c>
      <c r="E355" s="86">
        <v>0</v>
      </c>
      <c r="F355" s="86">
        <v>0</v>
      </c>
      <c r="G355" s="86">
        <v>0</v>
      </c>
      <c r="H355" s="86">
        <v>0</v>
      </c>
      <c r="I355" s="86">
        <v>0</v>
      </c>
      <c r="J355" s="86">
        <v>0</v>
      </c>
      <c r="K355" s="87">
        <v>0</v>
      </c>
      <c r="L355" s="86">
        <v>0</v>
      </c>
      <c r="M355" s="86">
        <v>810000</v>
      </c>
      <c r="N355" s="86">
        <v>0</v>
      </c>
      <c r="O355" s="86">
        <v>0</v>
      </c>
      <c r="P355" s="86">
        <v>0</v>
      </c>
      <c r="Q355" s="86">
        <v>0</v>
      </c>
      <c r="R355" s="86">
        <v>0</v>
      </c>
      <c r="S355" s="86">
        <v>0</v>
      </c>
      <c r="T355" s="86">
        <v>0</v>
      </c>
      <c r="U355" s="86">
        <v>0</v>
      </c>
      <c r="V355" s="86">
        <v>0</v>
      </c>
      <c r="W355" s="86">
        <v>0</v>
      </c>
      <c r="X355" s="86">
        <v>0</v>
      </c>
      <c r="Y355" s="86">
        <v>0</v>
      </c>
      <c r="Z355" s="86">
        <v>0</v>
      </c>
      <c r="AA355" s="86">
        <v>0</v>
      </c>
      <c r="AB355" s="88">
        <v>2020</v>
      </c>
    </row>
    <row r="356" spans="1:28" s="1" customFormat="1" ht="35.25" customHeight="1">
      <c r="A356" s="1">
        <v>1</v>
      </c>
      <c r="B356" s="38">
        <f>SUBTOTAL(103,$A$11:A356)</f>
        <v>337</v>
      </c>
      <c r="C356" s="82" t="s">
        <v>799</v>
      </c>
      <c r="D356" s="83">
        <f>E356+F356+G356+H356+I356+J356+L356+M356+N356+O356+P356+Q356+R356+S356+T356+U356+V356+W356+X356+Y356+Z356+AA356</f>
        <v>516711.62</v>
      </c>
      <c r="E356" s="86">
        <v>0</v>
      </c>
      <c r="F356" s="86">
        <v>161097.25</v>
      </c>
      <c r="G356" s="86">
        <v>0</v>
      </c>
      <c r="H356" s="86">
        <v>84774.9</v>
      </c>
      <c r="I356" s="86">
        <v>0</v>
      </c>
      <c r="J356" s="86">
        <v>0</v>
      </c>
      <c r="K356" s="87">
        <v>0</v>
      </c>
      <c r="L356" s="86">
        <v>0</v>
      </c>
      <c r="M356" s="86">
        <v>0</v>
      </c>
      <c r="N356" s="86">
        <v>0</v>
      </c>
      <c r="O356" s="86">
        <v>270839.46999999997</v>
      </c>
      <c r="P356" s="86">
        <v>0</v>
      </c>
      <c r="Q356" s="86">
        <v>0</v>
      </c>
      <c r="R356" s="86">
        <v>0</v>
      </c>
      <c r="S356" s="86">
        <v>0</v>
      </c>
      <c r="T356" s="86">
        <v>0</v>
      </c>
      <c r="U356" s="86">
        <v>0</v>
      </c>
      <c r="V356" s="86">
        <v>0</v>
      </c>
      <c r="W356" s="86">
        <v>0</v>
      </c>
      <c r="X356" s="86">
        <v>0</v>
      </c>
      <c r="Y356" s="86">
        <v>0</v>
      </c>
      <c r="Z356" s="86">
        <v>0</v>
      </c>
      <c r="AA356" s="86">
        <v>0</v>
      </c>
      <c r="AB356" s="88">
        <v>2020</v>
      </c>
    </row>
    <row r="357" spans="1:28" s="1" customFormat="1" ht="35.25" customHeight="1">
      <c r="A357" s="1">
        <v>1</v>
      </c>
      <c r="B357" s="38">
        <f>SUBTOTAL(103,$A$11:A357)</f>
        <v>338</v>
      </c>
      <c r="C357" s="82" t="s">
        <v>800</v>
      </c>
      <c r="D357" s="83">
        <f t="shared" ref="D357:D364" si="18">E357+F357+G357+H357+I357+J357+L357+M357+N357+O357+P357+Q357+R357+S357+T357+U357+V357+W357+X357+Y357+Z357+AA357</f>
        <v>616011.84</v>
      </c>
      <c r="E357" s="86">
        <v>0</v>
      </c>
      <c r="F357" s="86">
        <v>0</v>
      </c>
      <c r="G357" s="86">
        <v>616011.84</v>
      </c>
      <c r="H357" s="86">
        <v>0</v>
      </c>
      <c r="I357" s="86">
        <v>0</v>
      </c>
      <c r="J357" s="86">
        <v>0</v>
      </c>
      <c r="K357" s="87">
        <v>0</v>
      </c>
      <c r="L357" s="86">
        <v>0</v>
      </c>
      <c r="M357" s="86">
        <v>0</v>
      </c>
      <c r="N357" s="86">
        <v>0</v>
      </c>
      <c r="O357" s="86">
        <v>0</v>
      </c>
      <c r="P357" s="86">
        <v>0</v>
      </c>
      <c r="Q357" s="86">
        <v>0</v>
      </c>
      <c r="R357" s="86">
        <v>0</v>
      </c>
      <c r="S357" s="86">
        <v>0</v>
      </c>
      <c r="T357" s="86">
        <v>0</v>
      </c>
      <c r="U357" s="86">
        <v>0</v>
      </c>
      <c r="V357" s="86">
        <v>0</v>
      </c>
      <c r="W357" s="86">
        <v>0</v>
      </c>
      <c r="X357" s="86">
        <v>0</v>
      </c>
      <c r="Y357" s="86">
        <v>0</v>
      </c>
      <c r="Z357" s="86">
        <v>0</v>
      </c>
      <c r="AA357" s="86">
        <v>0</v>
      </c>
      <c r="AB357" s="88">
        <v>2020</v>
      </c>
    </row>
    <row r="358" spans="1:28" s="1" customFormat="1" ht="35.25" customHeight="1">
      <c r="A358" s="1">
        <v>1</v>
      </c>
      <c r="B358" s="38">
        <f>SUBTOTAL(103,$A$11:A358)</f>
        <v>339</v>
      </c>
      <c r="C358" s="82" t="s">
        <v>801</v>
      </c>
      <c r="D358" s="83">
        <f t="shared" si="18"/>
        <v>190271</v>
      </c>
      <c r="E358" s="86">
        <v>0</v>
      </c>
      <c r="F358" s="86">
        <v>0</v>
      </c>
      <c r="G358" s="86">
        <v>0</v>
      </c>
      <c r="H358" s="86">
        <v>0</v>
      </c>
      <c r="I358" s="86">
        <v>11358</v>
      </c>
      <c r="J358" s="86">
        <v>0</v>
      </c>
      <c r="K358" s="87">
        <v>0</v>
      </c>
      <c r="L358" s="86">
        <v>0</v>
      </c>
      <c r="M358" s="86">
        <v>0</v>
      </c>
      <c r="N358" s="86">
        <v>0</v>
      </c>
      <c r="O358" s="86">
        <v>178913</v>
      </c>
      <c r="P358" s="86">
        <v>0</v>
      </c>
      <c r="Q358" s="86">
        <v>0</v>
      </c>
      <c r="R358" s="86">
        <v>0</v>
      </c>
      <c r="S358" s="86">
        <v>0</v>
      </c>
      <c r="T358" s="86">
        <v>0</v>
      </c>
      <c r="U358" s="86">
        <v>0</v>
      </c>
      <c r="V358" s="86">
        <v>0</v>
      </c>
      <c r="W358" s="86">
        <v>0</v>
      </c>
      <c r="X358" s="86">
        <v>0</v>
      </c>
      <c r="Y358" s="86">
        <v>0</v>
      </c>
      <c r="Z358" s="86">
        <v>0</v>
      </c>
      <c r="AA358" s="86">
        <v>0</v>
      </c>
      <c r="AB358" s="88">
        <v>2020</v>
      </c>
    </row>
    <row r="359" spans="1:28" s="1" customFormat="1" ht="35.25" customHeight="1">
      <c r="A359" s="1">
        <v>1</v>
      </c>
      <c r="B359" s="38">
        <f>SUBTOTAL(103,$A$11:A359)</f>
        <v>340</v>
      </c>
      <c r="C359" s="82" t="s">
        <v>802</v>
      </c>
      <c r="D359" s="83">
        <f t="shared" si="18"/>
        <v>1310000</v>
      </c>
      <c r="E359" s="86">
        <v>0</v>
      </c>
      <c r="F359" s="86">
        <v>0</v>
      </c>
      <c r="G359" s="86">
        <v>0</v>
      </c>
      <c r="H359" s="86">
        <v>0</v>
      </c>
      <c r="I359" s="86">
        <v>0</v>
      </c>
      <c r="J359" s="86">
        <v>0</v>
      </c>
      <c r="K359" s="87">
        <v>0</v>
      </c>
      <c r="L359" s="86">
        <v>0</v>
      </c>
      <c r="M359" s="86">
        <v>1310000</v>
      </c>
      <c r="N359" s="86">
        <v>0</v>
      </c>
      <c r="O359" s="86">
        <v>0</v>
      </c>
      <c r="P359" s="86">
        <v>0</v>
      </c>
      <c r="Q359" s="86">
        <v>0</v>
      </c>
      <c r="R359" s="86">
        <v>0</v>
      </c>
      <c r="S359" s="86">
        <v>0</v>
      </c>
      <c r="T359" s="86">
        <v>0</v>
      </c>
      <c r="U359" s="86">
        <v>0</v>
      </c>
      <c r="V359" s="86">
        <v>0</v>
      </c>
      <c r="W359" s="86">
        <v>0</v>
      </c>
      <c r="X359" s="86">
        <v>0</v>
      </c>
      <c r="Y359" s="86">
        <v>0</v>
      </c>
      <c r="Z359" s="86">
        <v>0</v>
      </c>
      <c r="AA359" s="86">
        <v>0</v>
      </c>
      <c r="AB359" s="88">
        <v>2020</v>
      </c>
    </row>
    <row r="360" spans="1:28" s="1" customFormat="1" ht="35.25" customHeight="1">
      <c r="A360" s="1">
        <v>1</v>
      </c>
      <c r="B360" s="38">
        <f>SUBTOTAL(103,$A$11:A360)</f>
        <v>341</v>
      </c>
      <c r="C360" s="82" t="s">
        <v>803</v>
      </c>
      <c r="D360" s="83">
        <f t="shared" si="18"/>
        <v>157762.79999999999</v>
      </c>
      <c r="E360" s="86">
        <v>31116.9</v>
      </c>
      <c r="F360" s="86">
        <v>0</v>
      </c>
      <c r="G360" s="86">
        <v>0</v>
      </c>
      <c r="H360" s="86">
        <v>0</v>
      </c>
      <c r="I360" s="86">
        <v>0</v>
      </c>
      <c r="J360" s="86">
        <v>0</v>
      </c>
      <c r="K360" s="87">
        <v>0</v>
      </c>
      <c r="L360" s="86">
        <v>0</v>
      </c>
      <c r="M360" s="86">
        <v>126645.9</v>
      </c>
      <c r="N360" s="86">
        <v>0</v>
      </c>
      <c r="O360" s="86">
        <v>0</v>
      </c>
      <c r="P360" s="86">
        <v>0</v>
      </c>
      <c r="Q360" s="86">
        <v>0</v>
      </c>
      <c r="R360" s="86">
        <v>0</v>
      </c>
      <c r="S360" s="86">
        <v>0</v>
      </c>
      <c r="T360" s="86">
        <v>0</v>
      </c>
      <c r="U360" s="86">
        <v>0</v>
      </c>
      <c r="V360" s="86">
        <v>0</v>
      </c>
      <c r="W360" s="86">
        <v>0</v>
      </c>
      <c r="X360" s="86">
        <v>0</v>
      </c>
      <c r="Y360" s="86">
        <v>0</v>
      </c>
      <c r="Z360" s="86">
        <v>0</v>
      </c>
      <c r="AA360" s="86">
        <v>0</v>
      </c>
      <c r="AB360" s="88">
        <v>2020</v>
      </c>
    </row>
    <row r="361" spans="1:28" s="1" customFormat="1" ht="35.25" customHeight="1">
      <c r="A361" s="1">
        <v>1</v>
      </c>
      <c r="B361" s="38">
        <f>SUBTOTAL(103,$A$11:A361)</f>
        <v>342</v>
      </c>
      <c r="C361" s="82" t="s">
        <v>804</v>
      </c>
      <c r="D361" s="83">
        <f t="shared" si="18"/>
        <v>227500</v>
      </c>
      <c r="E361" s="86">
        <v>0</v>
      </c>
      <c r="F361" s="86">
        <v>0</v>
      </c>
      <c r="G361" s="86">
        <v>0</v>
      </c>
      <c r="H361" s="86">
        <v>0</v>
      </c>
      <c r="I361" s="86">
        <v>0</v>
      </c>
      <c r="J361" s="86">
        <v>0</v>
      </c>
      <c r="K361" s="87">
        <v>0</v>
      </c>
      <c r="L361" s="86">
        <v>0</v>
      </c>
      <c r="M361" s="86">
        <v>227500</v>
      </c>
      <c r="N361" s="86">
        <v>0</v>
      </c>
      <c r="O361" s="86">
        <v>0</v>
      </c>
      <c r="P361" s="86">
        <v>0</v>
      </c>
      <c r="Q361" s="86">
        <v>0</v>
      </c>
      <c r="R361" s="86">
        <v>0</v>
      </c>
      <c r="S361" s="86">
        <v>0</v>
      </c>
      <c r="T361" s="86">
        <v>0</v>
      </c>
      <c r="U361" s="86">
        <v>0</v>
      </c>
      <c r="V361" s="86">
        <v>0</v>
      </c>
      <c r="W361" s="86">
        <v>0</v>
      </c>
      <c r="X361" s="86">
        <v>0</v>
      </c>
      <c r="Y361" s="86">
        <v>0</v>
      </c>
      <c r="Z361" s="86">
        <v>0</v>
      </c>
      <c r="AA361" s="86">
        <v>0</v>
      </c>
      <c r="AB361" s="88">
        <v>2020</v>
      </c>
    </row>
    <row r="362" spans="1:28" s="1" customFormat="1" ht="35.25" customHeight="1">
      <c r="A362" s="1">
        <v>1</v>
      </c>
      <c r="B362" s="38">
        <f>SUBTOTAL(103,$A$11:A362)</f>
        <v>343</v>
      </c>
      <c r="C362" s="82" t="s">
        <v>805</v>
      </c>
      <c r="D362" s="83">
        <f t="shared" si="18"/>
        <v>260392.57</v>
      </c>
      <c r="E362" s="86">
        <v>0</v>
      </c>
      <c r="F362" s="86">
        <v>0</v>
      </c>
      <c r="G362" s="86">
        <v>0</v>
      </c>
      <c r="H362" s="86">
        <v>0</v>
      </c>
      <c r="I362" s="86">
        <v>0</v>
      </c>
      <c r="J362" s="86">
        <v>0</v>
      </c>
      <c r="K362" s="87">
        <v>0</v>
      </c>
      <c r="L362" s="86">
        <v>0</v>
      </c>
      <c r="M362" s="86">
        <v>0</v>
      </c>
      <c r="N362" s="86">
        <v>260392.57</v>
      </c>
      <c r="O362" s="86">
        <v>0</v>
      </c>
      <c r="P362" s="86">
        <v>0</v>
      </c>
      <c r="Q362" s="86">
        <v>0</v>
      </c>
      <c r="R362" s="86">
        <v>0</v>
      </c>
      <c r="S362" s="86">
        <v>0</v>
      </c>
      <c r="T362" s="86">
        <v>0</v>
      </c>
      <c r="U362" s="86">
        <v>0</v>
      </c>
      <c r="V362" s="86">
        <v>0</v>
      </c>
      <c r="W362" s="86">
        <v>0</v>
      </c>
      <c r="X362" s="86">
        <v>0</v>
      </c>
      <c r="Y362" s="86">
        <v>0</v>
      </c>
      <c r="Z362" s="86">
        <v>0</v>
      </c>
      <c r="AA362" s="86">
        <v>0</v>
      </c>
      <c r="AB362" s="88">
        <v>2020</v>
      </c>
    </row>
    <row r="363" spans="1:28" s="1" customFormat="1" ht="35.25" customHeight="1">
      <c r="A363" s="1">
        <v>1</v>
      </c>
      <c r="B363" s="38">
        <f>SUBTOTAL(103,$A$11:A363)</f>
        <v>344</v>
      </c>
      <c r="C363" s="82" t="s">
        <v>806</v>
      </c>
      <c r="D363" s="83">
        <f t="shared" si="18"/>
        <v>140197.16</v>
      </c>
      <c r="E363" s="86">
        <v>85000</v>
      </c>
      <c r="F363" s="86">
        <v>0</v>
      </c>
      <c r="G363" s="86">
        <v>0</v>
      </c>
      <c r="H363" s="86">
        <v>0</v>
      </c>
      <c r="I363" s="86">
        <v>0</v>
      </c>
      <c r="J363" s="86">
        <v>0</v>
      </c>
      <c r="K363" s="87">
        <v>0</v>
      </c>
      <c r="L363" s="86">
        <v>0</v>
      </c>
      <c r="M363" s="86">
        <v>55197.16</v>
      </c>
      <c r="N363" s="86">
        <v>0</v>
      </c>
      <c r="O363" s="86">
        <v>0</v>
      </c>
      <c r="P363" s="86">
        <v>0</v>
      </c>
      <c r="Q363" s="86">
        <v>0</v>
      </c>
      <c r="R363" s="86">
        <v>0</v>
      </c>
      <c r="S363" s="86">
        <v>0</v>
      </c>
      <c r="T363" s="86">
        <v>0</v>
      </c>
      <c r="U363" s="86">
        <v>0</v>
      </c>
      <c r="V363" s="86">
        <v>0</v>
      </c>
      <c r="W363" s="86">
        <v>0</v>
      </c>
      <c r="X363" s="86">
        <v>0</v>
      </c>
      <c r="Y363" s="86">
        <v>0</v>
      </c>
      <c r="Z363" s="86">
        <v>0</v>
      </c>
      <c r="AA363" s="86">
        <v>0</v>
      </c>
      <c r="AB363" s="88">
        <v>2020</v>
      </c>
    </row>
    <row r="364" spans="1:28" s="1" customFormat="1" ht="35.25" customHeight="1">
      <c r="A364" s="1">
        <v>1</v>
      </c>
      <c r="B364" s="38">
        <f>SUBTOTAL(103,$A$11:A364)</f>
        <v>345</v>
      </c>
      <c r="C364" s="82" t="s">
        <v>807</v>
      </c>
      <c r="D364" s="83">
        <f t="shared" si="18"/>
        <v>374617</v>
      </c>
      <c r="E364" s="86">
        <v>187308.5</v>
      </c>
      <c r="F364" s="86">
        <v>187308.5</v>
      </c>
      <c r="G364" s="86">
        <v>0</v>
      </c>
      <c r="H364" s="86">
        <v>0</v>
      </c>
      <c r="I364" s="86">
        <v>0</v>
      </c>
      <c r="J364" s="86">
        <v>0</v>
      </c>
      <c r="K364" s="87">
        <v>0</v>
      </c>
      <c r="L364" s="86">
        <v>0</v>
      </c>
      <c r="M364" s="86">
        <v>0</v>
      </c>
      <c r="N364" s="86">
        <v>0</v>
      </c>
      <c r="O364" s="86">
        <v>0</v>
      </c>
      <c r="P364" s="86">
        <v>0</v>
      </c>
      <c r="Q364" s="86">
        <v>0</v>
      </c>
      <c r="R364" s="86">
        <v>0</v>
      </c>
      <c r="S364" s="86">
        <v>0</v>
      </c>
      <c r="T364" s="86">
        <v>0</v>
      </c>
      <c r="U364" s="86">
        <v>0</v>
      </c>
      <c r="V364" s="86">
        <v>0</v>
      </c>
      <c r="W364" s="86">
        <v>0</v>
      </c>
      <c r="X364" s="86">
        <v>0</v>
      </c>
      <c r="Y364" s="86">
        <v>0</v>
      </c>
      <c r="Z364" s="86">
        <v>0</v>
      </c>
      <c r="AA364" s="86">
        <v>0</v>
      </c>
      <c r="AB364" s="88">
        <v>2020</v>
      </c>
    </row>
    <row r="365" spans="1:28" s="1" customFormat="1" ht="35.25" customHeight="1">
      <c r="A365" s="1">
        <v>1</v>
      </c>
      <c r="B365" s="38">
        <f>SUBTOTAL(103,$A$11:A365)</f>
        <v>346</v>
      </c>
      <c r="C365" s="82" t="s">
        <v>808</v>
      </c>
      <c r="D365" s="83">
        <f>E365+F365+G365+H365+I365+J365+L365+M365+N365+O365+P365+Q365+R365+S365+T365+U365+V365+W365+X365+Y365+Z365+AA365</f>
        <v>79041</v>
      </c>
      <c r="E365" s="86">
        <v>0</v>
      </c>
      <c r="F365" s="86">
        <v>0</v>
      </c>
      <c r="G365" s="86">
        <v>79041</v>
      </c>
      <c r="H365" s="86">
        <v>0</v>
      </c>
      <c r="I365" s="86">
        <v>0</v>
      </c>
      <c r="J365" s="86">
        <v>0</v>
      </c>
      <c r="K365" s="87">
        <v>0</v>
      </c>
      <c r="L365" s="86">
        <v>0</v>
      </c>
      <c r="M365" s="86">
        <v>0</v>
      </c>
      <c r="N365" s="86">
        <v>0</v>
      </c>
      <c r="O365" s="86">
        <v>0</v>
      </c>
      <c r="P365" s="86">
        <v>0</v>
      </c>
      <c r="Q365" s="86">
        <v>0</v>
      </c>
      <c r="R365" s="86">
        <v>0</v>
      </c>
      <c r="S365" s="86">
        <v>0</v>
      </c>
      <c r="T365" s="86">
        <v>0</v>
      </c>
      <c r="U365" s="86">
        <v>0</v>
      </c>
      <c r="V365" s="86">
        <v>0</v>
      </c>
      <c r="W365" s="86">
        <v>0</v>
      </c>
      <c r="X365" s="86">
        <v>0</v>
      </c>
      <c r="Y365" s="86">
        <v>0</v>
      </c>
      <c r="Z365" s="86">
        <v>0</v>
      </c>
      <c r="AA365" s="86">
        <v>0</v>
      </c>
      <c r="AB365" s="88">
        <v>2020</v>
      </c>
    </row>
    <row r="366" spans="1:28" s="1" customFormat="1" ht="35.25" customHeight="1">
      <c r="A366" s="1">
        <v>1</v>
      </c>
      <c r="B366" s="38">
        <f>SUBTOTAL(103,$A$11:A366)</f>
        <v>347</v>
      </c>
      <c r="C366" s="82" t="s">
        <v>809</v>
      </c>
      <c r="D366" s="83">
        <f>E366+F366+G366+H366+I366+J366+L366+M366+N366+O366+P366+Q366+R366+S366+T366+U366+V366+W366+X366+Y366+Z366+AA366</f>
        <v>459221.82</v>
      </c>
      <c r="E366" s="86">
        <v>0</v>
      </c>
      <c r="F366" s="86">
        <v>0</v>
      </c>
      <c r="G366" s="86">
        <v>0</v>
      </c>
      <c r="H366" s="86">
        <v>0</v>
      </c>
      <c r="I366" s="86">
        <v>0</v>
      </c>
      <c r="J366" s="86">
        <v>0</v>
      </c>
      <c r="K366" s="87">
        <v>0</v>
      </c>
      <c r="L366" s="86">
        <v>0</v>
      </c>
      <c r="M366" s="86">
        <v>0</v>
      </c>
      <c r="N366" s="86">
        <v>0</v>
      </c>
      <c r="O366" s="86">
        <v>459221.82</v>
      </c>
      <c r="P366" s="86">
        <v>0</v>
      </c>
      <c r="Q366" s="86">
        <v>0</v>
      </c>
      <c r="R366" s="86">
        <v>0</v>
      </c>
      <c r="S366" s="86">
        <v>0</v>
      </c>
      <c r="T366" s="86">
        <v>0</v>
      </c>
      <c r="U366" s="86">
        <v>0</v>
      </c>
      <c r="V366" s="86">
        <v>0</v>
      </c>
      <c r="W366" s="86">
        <v>0</v>
      </c>
      <c r="X366" s="86">
        <v>0</v>
      </c>
      <c r="Y366" s="86">
        <v>0</v>
      </c>
      <c r="Z366" s="86">
        <v>0</v>
      </c>
      <c r="AA366" s="86">
        <v>0</v>
      </c>
      <c r="AB366" s="88">
        <v>2020</v>
      </c>
    </row>
    <row r="367" spans="1:28" s="1" customFormat="1" ht="35.25" customHeight="1">
      <c r="A367" s="1">
        <v>1</v>
      </c>
      <c r="B367" s="38">
        <f>SUBTOTAL(103,$A$11:A367)</f>
        <v>348</v>
      </c>
      <c r="C367" s="82" t="s">
        <v>810</v>
      </c>
      <c r="D367" s="83">
        <v>297767</v>
      </c>
      <c r="E367" s="86">
        <v>0</v>
      </c>
      <c r="F367" s="86">
        <v>169948</v>
      </c>
      <c r="G367" s="86">
        <v>0</v>
      </c>
      <c r="H367" s="86">
        <v>127819</v>
      </c>
      <c r="I367" s="86">
        <v>0</v>
      </c>
      <c r="J367" s="86">
        <v>0</v>
      </c>
      <c r="K367" s="87">
        <v>0</v>
      </c>
      <c r="L367" s="86">
        <v>0</v>
      </c>
      <c r="M367" s="86">
        <v>0</v>
      </c>
      <c r="N367" s="86">
        <v>0</v>
      </c>
      <c r="O367" s="86">
        <v>0</v>
      </c>
      <c r="P367" s="86">
        <v>0</v>
      </c>
      <c r="Q367" s="86">
        <v>0</v>
      </c>
      <c r="R367" s="86">
        <v>0</v>
      </c>
      <c r="S367" s="86">
        <v>0</v>
      </c>
      <c r="T367" s="86">
        <v>0</v>
      </c>
      <c r="U367" s="86">
        <v>0</v>
      </c>
      <c r="V367" s="86">
        <v>0</v>
      </c>
      <c r="W367" s="86">
        <v>0</v>
      </c>
      <c r="X367" s="86">
        <v>0</v>
      </c>
      <c r="Y367" s="86">
        <v>0</v>
      </c>
      <c r="Z367" s="86">
        <v>0</v>
      </c>
      <c r="AA367" s="86">
        <v>0</v>
      </c>
      <c r="AB367" s="88">
        <v>2020</v>
      </c>
    </row>
    <row r="368" spans="1:28" s="1" customFormat="1" ht="35.25" customHeight="1">
      <c r="B368" s="82" t="s">
        <v>211</v>
      </c>
      <c r="C368" s="82"/>
      <c r="D368" s="83">
        <f t="shared" ref="D368:AA368" si="19">SUM(D369:D412)</f>
        <v>33604610.239999995</v>
      </c>
      <c r="E368" s="83">
        <f t="shared" si="19"/>
        <v>117495</v>
      </c>
      <c r="F368" s="83">
        <f t="shared" si="19"/>
        <v>1074867.2</v>
      </c>
      <c r="G368" s="83">
        <f t="shared" si="19"/>
        <v>7681119.2599999988</v>
      </c>
      <c r="H368" s="83">
        <f t="shared" si="19"/>
        <v>155581.73000000001</v>
      </c>
      <c r="I368" s="83">
        <f t="shared" si="19"/>
        <v>839366</v>
      </c>
      <c r="J368" s="83">
        <f t="shared" si="19"/>
        <v>0</v>
      </c>
      <c r="K368" s="87">
        <f t="shared" si="19"/>
        <v>6</v>
      </c>
      <c r="L368" s="83">
        <f t="shared" si="19"/>
        <v>9161260</v>
      </c>
      <c r="M368" s="83">
        <f t="shared" si="19"/>
        <v>9943286.8900000006</v>
      </c>
      <c r="N368" s="83">
        <f t="shared" si="19"/>
        <v>1396192.1</v>
      </c>
      <c r="O368" s="83">
        <f t="shared" si="19"/>
        <v>2992564.46</v>
      </c>
      <c r="P368" s="83">
        <f t="shared" si="19"/>
        <v>242877.6</v>
      </c>
      <c r="Q368" s="83">
        <f t="shared" si="19"/>
        <v>0</v>
      </c>
      <c r="R368" s="83">
        <f t="shared" si="19"/>
        <v>0</v>
      </c>
      <c r="S368" s="83">
        <f t="shared" si="19"/>
        <v>0</v>
      </c>
      <c r="T368" s="83">
        <f t="shared" si="19"/>
        <v>0</v>
      </c>
      <c r="U368" s="83">
        <f t="shared" si="19"/>
        <v>0</v>
      </c>
      <c r="V368" s="83">
        <f t="shared" si="19"/>
        <v>0</v>
      </c>
      <c r="W368" s="83">
        <f t="shared" si="19"/>
        <v>0</v>
      </c>
      <c r="X368" s="83">
        <f t="shared" si="19"/>
        <v>0</v>
      </c>
      <c r="Y368" s="83">
        <f t="shared" si="19"/>
        <v>0</v>
      </c>
      <c r="Z368" s="83">
        <f t="shared" si="19"/>
        <v>0</v>
      </c>
      <c r="AA368" s="83">
        <f t="shared" si="19"/>
        <v>0</v>
      </c>
      <c r="AB368" s="85" t="s">
        <v>131</v>
      </c>
    </row>
    <row r="369" spans="1:28" s="1" customFormat="1" ht="35.25" customHeight="1">
      <c r="A369" s="1">
        <v>1</v>
      </c>
      <c r="B369" s="38">
        <f>SUBTOTAL(103,$A$11:A369)</f>
        <v>349</v>
      </c>
      <c r="C369" s="82" t="s">
        <v>528</v>
      </c>
      <c r="D369" s="83">
        <f t="shared" ref="D369:D386" si="20">E369+F369+G369+H369+I369+J369+L369+M369+N369+O369+P369+Q369+R369+S369+T369+U369+V369+W369+X369+Y369+Z369+AA369</f>
        <v>446839.2</v>
      </c>
      <c r="E369" s="86">
        <v>0</v>
      </c>
      <c r="F369" s="86">
        <v>446839.2</v>
      </c>
      <c r="G369" s="86">
        <v>0</v>
      </c>
      <c r="H369" s="86">
        <v>0</v>
      </c>
      <c r="I369" s="86">
        <v>0</v>
      </c>
      <c r="J369" s="86">
        <v>0</v>
      </c>
      <c r="K369" s="87">
        <v>0</v>
      </c>
      <c r="L369" s="86">
        <v>0</v>
      </c>
      <c r="M369" s="86">
        <v>0</v>
      </c>
      <c r="N369" s="86">
        <v>0</v>
      </c>
      <c r="O369" s="86">
        <v>0</v>
      </c>
      <c r="P369" s="86">
        <v>0</v>
      </c>
      <c r="Q369" s="86">
        <v>0</v>
      </c>
      <c r="R369" s="86">
        <v>0</v>
      </c>
      <c r="S369" s="86">
        <v>0</v>
      </c>
      <c r="T369" s="86">
        <v>0</v>
      </c>
      <c r="U369" s="86">
        <v>0</v>
      </c>
      <c r="V369" s="86">
        <v>0</v>
      </c>
      <c r="W369" s="86">
        <v>0</v>
      </c>
      <c r="X369" s="86">
        <v>0</v>
      </c>
      <c r="Y369" s="86">
        <v>0</v>
      </c>
      <c r="Z369" s="86">
        <v>0</v>
      </c>
      <c r="AA369" s="86">
        <v>0</v>
      </c>
      <c r="AB369" s="88">
        <v>2020</v>
      </c>
    </row>
    <row r="370" spans="1:28" s="1" customFormat="1" ht="35.25" customHeight="1">
      <c r="A370" s="1">
        <v>1</v>
      </c>
      <c r="B370" s="38">
        <f>SUBTOTAL(103,$A$11:A370)</f>
        <v>350</v>
      </c>
      <c r="C370" s="82" t="s">
        <v>529</v>
      </c>
      <c r="D370" s="83">
        <f t="shared" si="20"/>
        <v>759667.19</v>
      </c>
      <c r="E370" s="86">
        <v>0</v>
      </c>
      <c r="F370" s="86">
        <v>0</v>
      </c>
      <c r="G370" s="86">
        <v>0</v>
      </c>
      <c r="H370" s="86">
        <v>0</v>
      </c>
      <c r="I370" s="86">
        <v>0</v>
      </c>
      <c r="J370" s="86">
        <v>0</v>
      </c>
      <c r="K370" s="87">
        <v>0</v>
      </c>
      <c r="L370" s="86">
        <v>0</v>
      </c>
      <c r="M370" s="86">
        <v>759667.19</v>
      </c>
      <c r="N370" s="86">
        <v>0</v>
      </c>
      <c r="O370" s="86">
        <v>0</v>
      </c>
      <c r="P370" s="86">
        <v>0</v>
      </c>
      <c r="Q370" s="86">
        <v>0</v>
      </c>
      <c r="R370" s="86">
        <v>0</v>
      </c>
      <c r="S370" s="86">
        <v>0</v>
      </c>
      <c r="T370" s="86">
        <v>0</v>
      </c>
      <c r="U370" s="86">
        <v>0</v>
      </c>
      <c r="V370" s="86">
        <v>0</v>
      </c>
      <c r="W370" s="86">
        <v>0</v>
      </c>
      <c r="X370" s="86">
        <v>0</v>
      </c>
      <c r="Y370" s="86">
        <v>0</v>
      </c>
      <c r="Z370" s="86">
        <v>0</v>
      </c>
      <c r="AA370" s="86">
        <v>0</v>
      </c>
      <c r="AB370" s="88">
        <v>2020</v>
      </c>
    </row>
    <row r="371" spans="1:28" s="1" customFormat="1" ht="35.25" customHeight="1">
      <c r="A371" s="1">
        <v>1</v>
      </c>
      <c r="B371" s="38">
        <f>SUBTOTAL(103,$A$11:A371)</f>
        <v>351</v>
      </c>
      <c r="C371" s="82" t="s">
        <v>530</v>
      </c>
      <c r="D371" s="83">
        <f t="shared" si="20"/>
        <v>555588.6</v>
      </c>
      <c r="E371" s="86">
        <v>0</v>
      </c>
      <c r="F371" s="86">
        <v>0</v>
      </c>
      <c r="G371" s="86">
        <v>312711</v>
      </c>
      <c r="H371" s="86">
        <v>0</v>
      </c>
      <c r="I371" s="86">
        <v>0</v>
      </c>
      <c r="J371" s="86">
        <v>0</v>
      </c>
      <c r="K371" s="87">
        <v>0</v>
      </c>
      <c r="L371" s="86">
        <v>0</v>
      </c>
      <c r="M371" s="86">
        <v>0</v>
      </c>
      <c r="N371" s="86">
        <v>0</v>
      </c>
      <c r="O371" s="86">
        <v>0</v>
      </c>
      <c r="P371" s="86">
        <v>242877.6</v>
      </c>
      <c r="Q371" s="86">
        <v>0</v>
      </c>
      <c r="R371" s="86">
        <v>0</v>
      </c>
      <c r="S371" s="86">
        <v>0</v>
      </c>
      <c r="T371" s="86">
        <v>0</v>
      </c>
      <c r="U371" s="86">
        <v>0</v>
      </c>
      <c r="V371" s="86">
        <v>0</v>
      </c>
      <c r="W371" s="86">
        <v>0</v>
      </c>
      <c r="X371" s="86">
        <v>0</v>
      </c>
      <c r="Y371" s="86">
        <v>0</v>
      </c>
      <c r="Z371" s="86">
        <v>0</v>
      </c>
      <c r="AA371" s="86">
        <v>0</v>
      </c>
      <c r="AB371" s="88">
        <v>2020</v>
      </c>
    </row>
    <row r="372" spans="1:28" s="1" customFormat="1" ht="35.25" customHeight="1">
      <c r="A372" s="1">
        <v>1</v>
      </c>
      <c r="B372" s="38">
        <f>SUBTOTAL(103,$A$11:A372)</f>
        <v>352</v>
      </c>
      <c r="C372" s="82" t="s">
        <v>531</v>
      </c>
      <c r="D372" s="83">
        <f t="shared" si="20"/>
        <v>1750000</v>
      </c>
      <c r="E372" s="86">
        <v>0</v>
      </c>
      <c r="F372" s="86">
        <v>0</v>
      </c>
      <c r="G372" s="86">
        <v>0</v>
      </c>
      <c r="H372" s="86">
        <v>0</v>
      </c>
      <c r="I372" s="86">
        <v>0</v>
      </c>
      <c r="J372" s="86">
        <v>0</v>
      </c>
      <c r="K372" s="87">
        <v>1</v>
      </c>
      <c r="L372" s="86">
        <v>1750000</v>
      </c>
      <c r="M372" s="86">
        <v>0</v>
      </c>
      <c r="N372" s="86">
        <v>0</v>
      </c>
      <c r="O372" s="86">
        <v>0</v>
      </c>
      <c r="P372" s="86">
        <v>0</v>
      </c>
      <c r="Q372" s="86">
        <v>0</v>
      </c>
      <c r="R372" s="86">
        <v>0</v>
      </c>
      <c r="S372" s="86">
        <v>0</v>
      </c>
      <c r="T372" s="86">
        <v>0</v>
      </c>
      <c r="U372" s="86">
        <v>0</v>
      </c>
      <c r="V372" s="86">
        <v>0</v>
      </c>
      <c r="W372" s="86">
        <v>0</v>
      </c>
      <c r="X372" s="86">
        <v>0</v>
      </c>
      <c r="Y372" s="86">
        <v>0</v>
      </c>
      <c r="Z372" s="86">
        <v>0</v>
      </c>
      <c r="AA372" s="86">
        <v>0</v>
      </c>
      <c r="AB372" s="88">
        <v>2020</v>
      </c>
    </row>
    <row r="373" spans="1:28" s="1" customFormat="1" ht="35.25" customHeight="1">
      <c r="A373" s="1">
        <v>1</v>
      </c>
      <c r="B373" s="38">
        <f>SUBTOTAL(103,$A$11:A373)</f>
        <v>353</v>
      </c>
      <c r="C373" s="82" t="s">
        <v>532</v>
      </c>
      <c r="D373" s="83">
        <f t="shared" si="20"/>
        <v>1832116</v>
      </c>
      <c r="E373" s="86">
        <v>0</v>
      </c>
      <c r="F373" s="86">
        <v>0</v>
      </c>
      <c r="G373" s="86">
        <v>0</v>
      </c>
      <c r="H373" s="86">
        <v>0</v>
      </c>
      <c r="I373" s="86">
        <v>0</v>
      </c>
      <c r="J373" s="86">
        <v>0</v>
      </c>
      <c r="K373" s="87">
        <v>1</v>
      </c>
      <c r="L373" s="86">
        <v>1832116</v>
      </c>
      <c r="M373" s="86">
        <v>0</v>
      </c>
      <c r="N373" s="86">
        <v>0</v>
      </c>
      <c r="O373" s="86">
        <v>0</v>
      </c>
      <c r="P373" s="86">
        <v>0</v>
      </c>
      <c r="Q373" s="86">
        <v>0</v>
      </c>
      <c r="R373" s="86">
        <v>0</v>
      </c>
      <c r="S373" s="86">
        <v>0</v>
      </c>
      <c r="T373" s="86">
        <v>0</v>
      </c>
      <c r="U373" s="86">
        <v>0</v>
      </c>
      <c r="V373" s="86">
        <v>0</v>
      </c>
      <c r="W373" s="86">
        <v>0</v>
      </c>
      <c r="X373" s="86">
        <v>0</v>
      </c>
      <c r="Y373" s="86">
        <v>0</v>
      </c>
      <c r="Z373" s="86">
        <v>0</v>
      </c>
      <c r="AA373" s="86">
        <v>0</v>
      </c>
      <c r="AB373" s="88">
        <v>2020</v>
      </c>
    </row>
    <row r="374" spans="1:28" s="1" customFormat="1" ht="35.25" customHeight="1">
      <c r="A374" s="1">
        <v>1</v>
      </c>
      <c r="B374" s="38">
        <f>SUBTOTAL(103,$A$11:A374)</f>
        <v>354</v>
      </c>
      <c r="C374" s="82" t="s">
        <v>533</v>
      </c>
      <c r="D374" s="83">
        <f t="shared" si="20"/>
        <v>310860</v>
      </c>
      <c r="E374" s="86">
        <v>0</v>
      </c>
      <c r="F374" s="86">
        <v>0</v>
      </c>
      <c r="G374" s="86">
        <v>0</v>
      </c>
      <c r="H374" s="86">
        <v>0</v>
      </c>
      <c r="I374" s="86">
        <v>0</v>
      </c>
      <c r="J374" s="86">
        <v>0</v>
      </c>
      <c r="K374" s="87">
        <v>0</v>
      </c>
      <c r="L374" s="86">
        <v>0</v>
      </c>
      <c r="M374" s="86">
        <v>0</v>
      </c>
      <c r="N374" s="86">
        <v>0</v>
      </c>
      <c r="O374" s="86">
        <v>310860</v>
      </c>
      <c r="P374" s="86">
        <v>0</v>
      </c>
      <c r="Q374" s="86">
        <v>0</v>
      </c>
      <c r="R374" s="86">
        <v>0</v>
      </c>
      <c r="S374" s="86">
        <v>0</v>
      </c>
      <c r="T374" s="86">
        <v>0</v>
      </c>
      <c r="U374" s="86">
        <v>0</v>
      </c>
      <c r="V374" s="86">
        <v>0</v>
      </c>
      <c r="W374" s="86">
        <v>0</v>
      </c>
      <c r="X374" s="86">
        <v>0</v>
      </c>
      <c r="Y374" s="86">
        <v>0</v>
      </c>
      <c r="Z374" s="86">
        <v>0</v>
      </c>
      <c r="AA374" s="86">
        <v>0</v>
      </c>
      <c r="AB374" s="88">
        <v>2020</v>
      </c>
    </row>
    <row r="375" spans="1:28" s="1" customFormat="1" ht="35.25" customHeight="1">
      <c r="A375" s="1">
        <v>1</v>
      </c>
      <c r="B375" s="38">
        <f>SUBTOTAL(103,$A$11:A375)</f>
        <v>355</v>
      </c>
      <c r="C375" s="82" t="s">
        <v>534</v>
      </c>
      <c r="D375" s="83">
        <f t="shared" si="20"/>
        <v>209441.4</v>
      </c>
      <c r="E375" s="86">
        <v>0</v>
      </c>
      <c r="F375" s="86">
        <v>0</v>
      </c>
      <c r="G375" s="86">
        <v>209441.4</v>
      </c>
      <c r="H375" s="86">
        <v>0</v>
      </c>
      <c r="I375" s="86">
        <v>0</v>
      </c>
      <c r="J375" s="86">
        <v>0</v>
      </c>
      <c r="K375" s="87">
        <v>0</v>
      </c>
      <c r="L375" s="86">
        <v>0</v>
      </c>
      <c r="M375" s="86">
        <v>0</v>
      </c>
      <c r="N375" s="86">
        <v>0</v>
      </c>
      <c r="O375" s="86">
        <v>0</v>
      </c>
      <c r="P375" s="86">
        <v>0</v>
      </c>
      <c r="Q375" s="86">
        <v>0</v>
      </c>
      <c r="R375" s="86">
        <v>0</v>
      </c>
      <c r="S375" s="86">
        <v>0</v>
      </c>
      <c r="T375" s="86">
        <v>0</v>
      </c>
      <c r="U375" s="86">
        <v>0</v>
      </c>
      <c r="V375" s="86">
        <v>0</v>
      </c>
      <c r="W375" s="86">
        <v>0</v>
      </c>
      <c r="X375" s="86">
        <v>0</v>
      </c>
      <c r="Y375" s="86">
        <v>0</v>
      </c>
      <c r="Z375" s="86">
        <v>0</v>
      </c>
      <c r="AA375" s="86">
        <v>0</v>
      </c>
      <c r="AB375" s="88">
        <v>2020</v>
      </c>
    </row>
    <row r="376" spans="1:28" s="1" customFormat="1" ht="35.25" customHeight="1">
      <c r="A376" s="1">
        <v>1</v>
      </c>
      <c r="B376" s="38">
        <f>SUBTOTAL(103,$A$11:A376)</f>
        <v>356</v>
      </c>
      <c r="C376" s="82" t="s">
        <v>535</v>
      </c>
      <c r="D376" s="83">
        <f t="shared" si="20"/>
        <v>905050</v>
      </c>
      <c r="E376" s="86">
        <v>0</v>
      </c>
      <c r="F376" s="86">
        <v>0</v>
      </c>
      <c r="G376" s="86">
        <v>47050</v>
      </c>
      <c r="H376" s="86">
        <v>0</v>
      </c>
      <c r="I376" s="86">
        <v>0</v>
      </c>
      <c r="J376" s="86">
        <v>0</v>
      </c>
      <c r="K376" s="87">
        <v>0</v>
      </c>
      <c r="L376" s="86">
        <v>0</v>
      </c>
      <c r="M376" s="86">
        <v>858000</v>
      </c>
      <c r="N376" s="86">
        <v>0</v>
      </c>
      <c r="O376" s="86">
        <v>0</v>
      </c>
      <c r="P376" s="86">
        <v>0</v>
      </c>
      <c r="Q376" s="86">
        <v>0</v>
      </c>
      <c r="R376" s="86">
        <v>0</v>
      </c>
      <c r="S376" s="86">
        <v>0</v>
      </c>
      <c r="T376" s="86">
        <v>0</v>
      </c>
      <c r="U376" s="86">
        <v>0</v>
      </c>
      <c r="V376" s="86">
        <v>0</v>
      </c>
      <c r="W376" s="86">
        <v>0</v>
      </c>
      <c r="X376" s="86">
        <v>0</v>
      </c>
      <c r="Y376" s="86">
        <v>0</v>
      </c>
      <c r="Z376" s="86">
        <v>0</v>
      </c>
      <c r="AA376" s="86">
        <v>0</v>
      </c>
      <c r="AB376" s="88">
        <v>2020</v>
      </c>
    </row>
    <row r="377" spans="1:28" s="1" customFormat="1" ht="35.25" customHeight="1">
      <c r="A377" s="1">
        <v>1</v>
      </c>
      <c r="B377" s="38">
        <f>SUBTOTAL(103,$A$11:A377)</f>
        <v>357</v>
      </c>
      <c r="C377" s="82" t="s">
        <v>536</v>
      </c>
      <c r="D377" s="83">
        <f t="shared" si="20"/>
        <v>258344.1</v>
      </c>
      <c r="E377" s="86">
        <v>0</v>
      </c>
      <c r="F377" s="86">
        <v>0</v>
      </c>
      <c r="G377" s="86">
        <v>0</v>
      </c>
      <c r="H377" s="86">
        <v>0</v>
      </c>
      <c r="I377" s="86">
        <v>0</v>
      </c>
      <c r="J377" s="86">
        <v>0</v>
      </c>
      <c r="K377" s="87">
        <v>0</v>
      </c>
      <c r="L377" s="86">
        <v>0</v>
      </c>
      <c r="M377" s="86">
        <v>0</v>
      </c>
      <c r="N377" s="86">
        <v>258344.1</v>
      </c>
      <c r="O377" s="86">
        <v>0</v>
      </c>
      <c r="P377" s="86">
        <v>0</v>
      </c>
      <c r="Q377" s="86">
        <v>0</v>
      </c>
      <c r="R377" s="86">
        <v>0</v>
      </c>
      <c r="S377" s="86">
        <v>0</v>
      </c>
      <c r="T377" s="86">
        <v>0</v>
      </c>
      <c r="U377" s="86">
        <v>0</v>
      </c>
      <c r="V377" s="86">
        <v>0</v>
      </c>
      <c r="W377" s="86">
        <v>0</v>
      </c>
      <c r="X377" s="86">
        <v>0</v>
      </c>
      <c r="Y377" s="86">
        <v>0</v>
      </c>
      <c r="Z377" s="86">
        <v>0</v>
      </c>
      <c r="AA377" s="86">
        <v>0</v>
      </c>
      <c r="AB377" s="88">
        <v>2020</v>
      </c>
    </row>
    <row r="378" spans="1:28" s="1" customFormat="1" ht="35.25" customHeight="1">
      <c r="A378" s="1">
        <v>1</v>
      </c>
      <c r="B378" s="38">
        <f>SUBTOTAL(103,$A$11:A378)</f>
        <v>358</v>
      </c>
      <c r="C378" s="82" t="s">
        <v>537</v>
      </c>
      <c r="D378" s="83">
        <f t="shared" si="20"/>
        <v>543814</v>
      </c>
      <c r="E378" s="86">
        <v>0</v>
      </c>
      <c r="F378" s="86">
        <v>0</v>
      </c>
      <c r="G378" s="86">
        <v>0</v>
      </c>
      <c r="H378" s="86">
        <v>0</v>
      </c>
      <c r="I378" s="86">
        <v>0</v>
      </c>
      <c r="J378" s="86">
        <v>0</v>
      </c>
      <c r="K378" s="87">
        <v>0</v>
      </c>
      <c r="L378" s="86">
        <v>0</v>
      </c>
      <c r="M378" s="86">
        <v>543814</v>
      </c>
      <c r="N378" s="86">
        <v>0</v>
      </c>
      <c r="O378" s="86">
        <v>0</v>
      </c>
      <c r="P378" s="86">
        <v>0</v>
      </c>
      <c r="Q378" s="86">
        <v>0</v>
      </c>
      <c r="R378" s="86">
        <v>0</v>
      </c>
      <c r="S378" s="86">
        <v>0</v>
      </c>
      <c r="T378" s="86">
        <v>0</v>
      </c>
      <c r="U378" s="86">
        <v>0</v>
      </c>
      <c r="V378" s="86">
        <v>0</v>
      </c>
      <c r="W378" s="86">
        <v>0</v>
      </c>
      <c r="X378" s="86">
        <v>0</v>
      </c>
      <c r="Y378" s="86">
        <v>0</v>
      </c>
      <c r="Z378" s="86">
        <v>0</v>
      </c>
      <c r="AA378" s="86">
        <v>0</v>
      </c>
      <c r="AB378" s="88">
        <v>2020</v>
      </c>
    </row>
    <row r="379" spans="1:28" s="1" customFormat="1" ht="35.25" customHeight="1">
      <c r="A379" s="1">
        <v>1</v>
      </c>
      <c r="B379" s="38">
        <f>SUBTOTAL(103,$A$11:A379)</f>
        <v>359</v>
      </c>
      <c r="C379" s="82" t="s">
        <v>538</v>
      </c>
      <c r="D379" s="83">
        <f t="shared" si="20"/>
        <v>1390097</v>
      </c>
      <c r="E379" s="86">
        <v>0</v>
      </c>
      <c r="F379" s="86">
        <v>0</v>
      </c>
      <c r="G379" s="86">
        <v>0</v>
      </c>
      <c r="H379" s="86">
        <v>0</v>
      </c>
      <c r="I379" s="86">
        <v>0</v>
      </c>
      <c r="J379" s="86">
        <v>0</v>
      </c>
      <c r="K379" s="87">
        <v>0</v>
      </c>
      <c r="L379" s="86">
        <v>0</v>
      </c>
      <c r="M379" s="86">
        <v>1390097</v>
      </c>
      <c r="N379" s="86">
        <v>0</v>
      </c>
      <c r="O379" s="86">
        <v>0</v>
      </c>
      <c r="P379" s="86">
        <v>0</v>
      </c>
      <c r="Q379" s="86">
        <v>0</v>
      </c>
      <c r="R379" s="86">
        <v>0</v>
      </c>
      <c r="S379" s="86">
        <v>0</v>
      </c>
      <c r="T379" s="86">
        <v>0</v>
      </c>
      <c r="U379" s="86">
        <v>0</v>
      </c>
      <c r="V379" s="86">
        <v>0</v>
      </c>
      <c r="W379" s="86">
        <v>0</v>
      </c>
      <c r="X379" s="86">
        <v>0</v>
      </c>
      <c r="Y379" s="86">
        <v>0</v>
      </c>
      <c r="Z379" s="86">
        <v>0</v>
      </c>
      <c r="AA379" s="86">
        <v>0</v>
      </c>
      <c r="AB379" s="88">
        <v>2020</v>
      </c>
    </row>
    <row r="380" spans="1:28" s="1" customFormat="1" ht="35.25" customHeight="1">
      <c r="A380" s="1">
        <v>1</v>
      </c>
      <c r="B380" s="38">
        <f>SUBTOTAL(103,$A$11:A380)</f>
        <v>360</v>
      </c>
      <c r="C380" s="82" t="s">
        <v>539</v>
      </c>
      <c r="D380" s="83">
        <f t="shared" si="20"/>
        <v>863796</v>
      </c>
      <c r="E380" s="86">
        <v>0</v>
      </c>
      <c r="F380" s="86">
        <v>0</v>
      </c>
      <c r="G380" s="86">
        <v>0</v>
      </c>
      <c r="H380" s="86">
        <v>0</v>
      </c>
      <c r="I380" s="86">
        <v>0</v>
      </c>
      <c r="J380" s="86">
        <v>0</v>
      </c>
      <c r="K380" s="87">
        <v>1</v>
      </c>
      <c r="L380" s="86">
        <v>82796</v>
      </c>
      <c r="M380" s="86">
        <v>781000</v>
      </c>
      <c r="N380" s="86">
        <v>0</v>
      </c>
      <c r="O380" s="86">
        <v>0</v>
      </c>
      <c r="P380" s="86">
        <v>0</v>
      </c>
      <c r="Q380" s="86">
        <v>0</v>
      </c>
      <c r="R380" s="86">
        <v>0</v>
      </c>
      <c r="S380" s="86">
        <v>0</v>
      </c>
      <c r="T380" s="86">
        <v>0</v>
      </c>
      <c r="U380" s="86">
        <v>0</v>
      </c>
      <c r="V380" s="86">
        <v>0</v>
      </c>
      <c r="W380" s="86">
        <v>0</v>
      </c>
      <c r="X380" s="86">
        <v>0</v>
      </c>
      <c r="Y380" s="86">
        <v>0</v>
      </c>
      <c r="Z380" s="86">
        <v>0</v>
      </c>
      <c r="AA380" s="86">
        <v>0</v>
      </c>
      <c r="AB380" s="88">
        <v>2020</v>
      </c>
    </row>
    <row r="381" spans="1:28" s="1" customFormat="1" ht="35.25" customHeight="1">
      <c r="A381" s="1">
        <v>1</v>
      </c>
      <c r="B381" s="38">
        <f>SUBTOTAL(103,$A$11:A381)</f>
        <v>361</v>
      </c>
      <c r="C381" s="82" t="s">
        <v>540</v>
      </c>
      <c r="D381" s="83">
        <f t="shared" si="20"/>
        <v>330086</v>
      </c>
      <c r="E381" s="86">
        <v>0</v>
      </c>
      <c r="F381" s="86">
        <v>0</v>
      </c>
      <c r="G381" s="86">
        <v>330086</v>
      </c>
      <c r="H381" s="86">
        <v>0</v>
      </c>
      <c r="I381" s="86">
        <v>0</v>
      </c>
      <c r="J381" s="86">
        <v>0</v>
      </c>
      <c r="K381" s="87">
        <v>0</v>
      </c>
      <c r="L381" s="86">
        <v>0</v>
      </c>
      <c r="M381" s="86">
        <v>0</v>
      </c>
      <c r="N381" s="86">
        <v>0</v>
      </c>
      <c r="O381" s="86">
        <v>0</v>
      </c>
      <c r="P381" s="86">
        <v>0</v>
      </c>
      <c r="Q381" s="86">
        <v>0</v>
      </c>
      <c r="R381" s="86">
        <v>0</v>
      </c>
      <c r="S381" s="86">
        <v>0</v>
      </c>
      <c r="T381" s="86">
        <v>0</v>
      </c>
      <c r="U381" s="86">
        <v>0</v>
      </c>
      <c r="V381" s="86">
        <v>0</v>
      </c>
      <c r="W381" s="86">
        <v>0</v>
      </c>
      <c r="X381" s="86">
        <v>0</v>
      </c>
      <c r="Y381" s="86">
        <v>0</v>
      </c>
      <c r="Z381" s="86">
        <v>0</v>
      </c>
      <c r="AA381" s="86">
        <v>0</v>
      </c>
      <c r="AB381" s="88">
        <v>2020</v>
      </c>
    </row>
    <row r="382" spans="1:28" s="1" customFormat="1" ht="35.25" customHeight="1">
      <c r="A382" s="1">
        <v>1</v>
      </c>
      <c r="B382" s="38">
        <f>SUBTOTAL(103,$A$11:A382)</f>
        <v>362</v>
      </c>
      <c r="C382" s="82" t="s">
        <v>541</v>
      </c>
      <c r="D382" s="83">
        <f t="shared" si="20"/>
        <v>693526</v>
      </c>
      <c r="E382" s="86">
        <v>0</v>
      </c>
      <c r="F382" s="86">
        <v>0</v>
      </c>
      <c r="G382" s="86">
        <v>0</v>
      </c>
      <c r="H382" s="86">
        <v>0</v>
      </c>
      <c r="I382" s="86">
        <v>0</v>
      </c>
      <c r="J382" s="86">
        <v>0</v>
      </c>
      <c r="K382" s="87">
        <v>0</v>
      </c>
      <c r="L382" s="86">
        <v>0</v>
      </c>
      <c r="M382" s="86">
        <v>693526</v>
      </c>
      <c r="N382" s="86">
        <v>0</v>
      </c>
      <c r="O382" s="86">
        <v>0</v>
      </c>
      <c r="P382" s="86">
        <v>0</v>
      </c>
      <c r="Q382" s="86">
        <v>0</v>
      </c>
      <c r="R382" s="86">
        <v>0</v>
      </c>
      <c r="S382" s="86">
        <v>0</v>
      </c>
      <c r="T382" s="86">
        <v>0</v>
      </c>
      <c r="U382" s="86">
        <v>0</v>
      </c>
      <c r="V382" s="86">
        <v>0</v>
      </c>
      <c r="W382" s="86">
        <v>0</v>
      </c>
      <c r="X382" s="86">
        <v>0</v>
      </c>
      <c r="Y382" s="86">
        <v>0</v>
      </c>
      <c r="Z382" s="86">
        <v>0</v>
      </c>
      <c r="AA382" s="86">
        <v>0</v>
      </c>
      <c r="AB382" s="88">
        <v>2020</v>
      </c>
    </row>
    <row r="383" spans="1:28" s="1" customFormat="1" ht="35.25" customHeight="1">
      <c r="A383" s="1">
        <v>1</v>
      </c>
      <c r="B383" s="38">
        <f>SUBTOTAL(103,$A$11:A383)</f>
        <v>363</v>
      </c>
      <c r="C383" s="82" t="s">
        <v>542</v>
      </c>
      <c r="D383" s="83">
        <f t="shared" si="20"/>
        <v>347354</v>
      </c>
      <c r="E383" s="86">
        <v>0</v>
      </c>
      <c r="F383" s="86">
        <v>0</v>
      </c>
      <c r="G383" s="86">
        <v>0</v>
      </c>
      <c r="H383" s="86">
        <v>0</v>
      </c>
      <c r="I383" s="86">
        <v>347354</v>
      </c>
      <c r="J383" s="86">
        <v>0</v>
      </c>
      <c r="K383" s="87">
        <v>0</v>
      </c>
      <c r="L383" s="86">
        <v>0</v>
      </c>
      <c r="M383" s="86">
        <v>0</v>
      </c>
      <c r="N383" s="86">
        <v>0</v>
      </c>
      <c r="O383" s="86">
        <v>0</v>
      </c>
      <c r="P383" s="86">
        <v>0</v>
      </c>
      <c r="Q383" s="86">
        <v>0</v>
      </c>
      <c r="R383" s="86">
        <v>0</v>
      </c>
      <c r="S383" s="86">
        <v>0</v>
      </c>
      <c r="T383" s="86">
        <v>0</v>
      </c>
      <c r="U383" s="86">
        <v>0</v>
      </c>
      <c r="V383" s="86">
        <v>0</v>
      </c>
      <c r="W383" s="86">
        <v>0</v>
      </c>
      <c r="X383" s="86">
        <v>0</v>
      </c>
      <c r="Y383" s="86">
        <v>0</v>
      </c>
      <c r="Z383" s="86">
        <v>0</v>
      </c>
      <c r="AA383" s="86">
        <v>0</v>
      </c>
      <c r="AB383" s="88">
        <v>2020</v>
      </c>
    </row>
    <row r="384" spans="1:28" s="1" customFormat="1" ht="35.25" customHeight="1">
      <c r="A384" s="1">
        <v>1</v>
      </c>
      <c r="B384" s="38">
        <f>SUBTOTAL(103,$A$11:A384)</f>
        <v>364</v>
      </c>
      <c r="C384" s="82" t="s">
        <v>543</v>
      </c>
      <c r="D384" s="83">
        <f t="shared" si="20"/>
        <v>1832116</v>
      </c>
      <c r="E384" s="86">
        <v>0</v>
      </c>
      <c r="F384" s="86">
        <v>0</v>
      </c>
      <c r="G384" s="86">
        <v>0</v>
      </c>
      <c r="H384" s="86">
        <v>0</v>
      </c>
      <c r="I384" s="86">
        <v>0</v>
      </c>
      <c r="J384" s="86">
        <v>0</v>
      </c>
      <c r="K384" s="87">
        <v>1</v>
      </c>
      <c r="L384" s="86">
        <v>1832116</v>
      </c>
      <c r="M384" s="86">
        <v>0</v>
      </c>
      <c r="N384" s="86">
        <v>0</v>
      </c>
      <c r="O384" s="86">
        <v>0</v>
      </c>
      <c r="P384" s="86">
        <v>0</v>
      </c>
      <c r="Q384" s="86">
        <v>0</v>
      </c>
      <c r="R384" s="86">
        <v>0</v>
      </c>
      <c r="S384" s="86">
        <v>0</v>
      </c>
      <c r="T384" s="86">
        <v>0</v>
      </c>
      <c r="U384" s="86">
        <v>0</v>
      </c>
      <c r="V384" s="86">
        <v>0</v>
      </c>
      <c r="W384" s="86">
        <v>0</v>
      </c>
      <c r="X384" s="86">
        <v>0</v>
      </c>
      <c r="Y384" s="86">
        <v>0</v>
      </c>
      <c r="Z384" s="86">
        <v>0</v>
      </c>
      <c r="AA384" s="86">
        <v>0</v>
      </c>
      <c r="AB384" s="88">
        <v>2020</v>
      </c>
    </row>
    <row r="385" spans="1:28" s="1" customFormat="1" ht="35.25" customHeight="1">
      <c r="A385" s="1">
        <v>1</v>
      </c>
      <c r="B385" s="38">
        <f>SUBTOTAL(103,$A$11:A385)</f>
        <v>365</v>
      </c>
      <c r="C385" s="82" t="s">
        <v>544</v>
      </c>
      <c r="D385" s="83">
        <f t="shared" si="20"/>
        <v>240211</v>
      </c>
      <c r="E385" s="86">
        <v>0</v>
      </c>
      <c r="F385" s="86">
        <v>0</v>
      </c>
      <c r="G385" s="86">
        <v>0</v>
      </c>
      <c r="H385" s="86">
        <v>0</v>
      </c>
      <c r="I385" s="86">
        <v>0</v>
      </c>
      <c r="J385" s="86">
        <v>0</v>
      </c>
      <c r="K385" s="87">
        <v>0</v>
      </c>
      <c r="L385" s="86">
        <v>0</v>
      </c>
      <c r="M385" s="86">
        <v>0</v>
      </c>
      <c r="N385" s="86">
        <v>0</v>
      </c>
      <c r="O385" s="86">
        <v>240211</v>
      </c>
      <c r="P385" s="86">
        <v>0</v>
      </c>
      <c r="Q385" s="86">
        <v>0</v>
      </c>
      <c r="R385" s="86">
        <v>0</v>
      </c>
      <c r="S385" s="86">
        <v>0</v>
      </c>
      <c r="T385" s="86">
        <v>0</v>
      </c>
      <c r="U385" s="86">
        <v>0</v>
      </c>
      <c r="V385" s="86">
        <v>0</v>
      </c>
      <c r="W385" s="86">
        <v>0</v>
      </c>
      <c r="X385" s="86">
        <v>0</v>
      </c>
      <c r="Y385" s="86">
        <v>0</v>
      </c>
      <c r="Z385" s="86">
        <v>0</v>
      </c>
      <c r="AA385" s="86">
        <v>0</v>
      </c>
      <c r="AB385" s="88">
        <v>2020</v>
      </c>
    </row>
    <row r="386" spans="1:28" s="1" customFormat="1" ht="35.25" customHeight="1">
      <c r="A386" s="1">
        <v>1</v>
      </c>
      <c r="B386" s="38">
        <f>SUBTOTAL(103,$A$11:A386)</f>
        <v>366</v>
      </c>
      <c r="C386" s="82" t="s">
        <v>545</v>
      </c>
      <c r="D386" s="83">
        <f t="shared" si="20"/>
        <v>155581.73000000001</v>
      </c>
      <c r="E386" s="86">
        <v>0</v>
      </c>
      <c r="F386" s="86">
        <v>0</v>
      </c>
      <c r="G386" s="86">
        <v>0</v>
      </c>
      <c r="H386" s="86">
        <v>155581.73000000001</v>
      </c>
      <c r="I386" s="86">
        <v>0</v>
      </c>
      <c r="J386" s="86">
        <v>0</v>
      </c>
      <c r="K386" s="87">
        <v>0</v>
      </c>
      <c r="L386" s="86">
        <v>0</v>
      </c>
      <c r="M386" s="86">
        <v>0</v>
      </c>
      <c r="N386" s="86">
        <v>0</v>
      </c>
      <c r="O386" s="86">
        <v>0</v>
      </c>
      <c r="P386" s="86">
        <v>0</v>
      </c>
      <c r="Q386" s="86">
        <v>0</v>
      </c>
      <c r="R386" s="86">
        <v>0</v>
      </c>
      <c r="S386" s="86">
        <v>0</v>
      </c>
      <c r="T386" s="86">
        <v>0</v>
      </c>
      <c r="U386" s="86">
        <v>0</v>
      </c>
      <c r="V386" s="86">
        <v>0</v>
      </c>
      <c r="W386" s="86">
        <v>0</v>
      </c>
      <c r="X386" s="86">
        <v>0</v>
      </c>
      <c r="Y386" s="86">
        <v>0</v>
      </c>
      <c r="Z386" s="86">
        <v>0</v>
      </c>
      <c r="AA386" s="86">
        <v>0</v>
      </c>
      <c r="AB386" s="88">
        <v>2020</v>
      </c>
    </row>
    <row r="387" spans="1:28" s="1" customFormat="1" ht="35.25" customHeight="1">
      <c r="A387" s="1">
        <v>1</v>
      </c>
      <c r="B387" s="38">
        <f>SUBTOTAL(103,$A$11:A387)</f>
        <v>367</v>
      </c>
      <c r="C387" s="82" t="s">
        <v>811</v>
      </c>
      <c r="D387" s="83">
        <v>1467871.96</v>
      </c>
      <c r="E387" s="86">
        <v>0</v>
      </c>
      <c r="F387" s="86">
        <v>0</v>
      </c>
      <c r="G387" s="86">
        <v>1467871.96</v>
      </c>
      <c r="H387" s="86">
        <v>0</v>
      </c>
      <c r="I387" s="86">
        <v>0</v>
      </c>
      <c r="J387" s="86">
        <v>0</v>
      </c>
      <c r="K387" s="87">
        <v>0</v>
      </c>
      <c r="L387" s="86">
        <v>0</v>
      </c>
      <c r="M387" s="86">
        <v>0</v>
      </c>
      <c r="N387" s="86">
        <v>0</v>
      </c>
      <c r="O387" s="86">
        <v>0</v>
      </c>
      <c r="P387" s="86">
        <v>0</v>
      </c>
      <c r="Q387" s="86">
        <v>0</v>
      </c>
      <c r="R387" s="86">
        <v>0</v>
      </c>
      <c r="S387" s="86">
        <v>0</v>
      </c>
      <c r="T387" s="86">
        <v>0</v>
      </c>
      <c r="U387" s="86">
        <v>0</v>
      </c>
      <c r="V387" s="86">
        <v>0</v>
      </c>
      <c r="W387" s="86">
        <v>0</v>
      </c>
      <c r="X387" s="86">
        <v>0</v>
      </c>
      <c r="Y387" s="86">
        <v>0</v>
      </c>
      <c r="Z387" s="86">
        <v>0</v>
      </c>
      <c r="AA387" s="86">
        <v>0</v>
      </c>
      <c r="AB387" s="88">
        <v>2020</v>
      </c>
    </row>
    <row r="388" spans="1:28" s="1" customFormat="1" ht="35.25" customHeight="1">
      <c r="A388" s="1">
        <v>1</v>
      </c>
      <c r="B388" s="38">
        <f>SUBTOTAL(103,$A$11:A388)</f>
        <v>368</v>
      </c>
      <c r="C388" s="82" t="s">
        <v>812</v>
      </c>
      <c r="D388" s="83">
        <v>3131855.51</v>
      </c>
      <c r="E388" s="86">
        <v>0</v>
      </c>
      <c r="F388" s="86">
        <v>0</v>
      </c>
      <c r="G388" s="86">
        <v>3131855.51</v>
      </c>
      <c r="H388" s="86">
        <v>0</v>
      </c>
      <c r="I388" s="86">
        <v>0</v>
      </c>
      <c r="J388" s="86">
        <v>0</v>
      </c>
      <c r="K388" s="87">
        <v>0</v>
      </c>
      <c r="L388" s="86">
        <v>0</v>
      </c>
      <c r="M388" s="86">
        <v>0</v>
      </c>
      <c r="N388" s="86">
        <v>0</v>
      </c>
      <c r="O388" s="86">
        <v>0</v>
      </c>
      <c r="P388" s="86">
        <v>0</v>
      </c>
      <c r="Q388" s="86">
        <v>0</v>
      </c>
      <c r="R388" s="86">
        <v>0</v>
      </c>
      <c r="S388" s="86">
        <v>0</v>
      </c>
      <c r="T388" s="86">
        <v>0</v>
      </c>
      <c r="U388" s="86">
        <v>0</v>
      </c>
      <c r="V388" s="86">
        <v>0</v>
      </c>
      <c r="W388" s="86">
        <v>0</v>
      </c>
      <c r="X388" s="86">
        <v>0</v>
      </c>
      <c r="Y388" s="86">
        <v>0</v>
      </c>
      <c r="Z388" s="86">
        <v>0</v>
      </c>
      <c r="AA388" s="86">
        <v>0</v>
      </c>
      <c r="AB388" s="88">
        <v>2020</v>
      </c>
    </row>
    <row r="389" spans="1:28" s="1" customFormat="1" ht="35.25" customHeight="1">
      <c r="A389" s="1">
        <v>1</v>
      </c>
      <c r="B389" s="38">
        <f>SUBTOTAL(103,$A$11:A389)</f>
        <v>369</v>
      </c>
      <c r="C389" s="82" t="s">
        <v>813</v>
      </c>
      <c r="D389" s="83">
        <v>419031</v>
      </c>
      <c r="E389" s="86">
        <v>117495</v>
      </c>
      <c r="F389" s="86">
        <v>301536</v>
      </c>
      <c r="G389" s="86">
        <v>0</v>
      </c>
      <c r="H389" s="86">
        <v>0</v>
      </c>
      <c r="I389" s="86">
        <v>0</v>
      </c>
      <c r="J389" s="86">
        <v>0</v>
      </c>
      <c r="K389" s="87">
        <v>0</v>
      </c>
      <c r="L389" s="86">
        <v>0</v>
      </c>
      <c r="M389" s="86">
        <v>0</v>
      </c>
      <c r="N389" s="86">
        <v>0</v>
      </c>
      <c r="O389" s="86">
        <v>0</v>
      </c>
      <c r="P389" s="86">
        <v>0</v>
      </c>
      <c r="Q389" s="86">
        <v>0</v>
      </c>
      <c r="R389" s="86">
        <v>0</v>
      </c>
      <c r="S389" s="86">
        <v>0</v>
      </c>
      <c r="T389" s="86">
        <v>0</v>
      </c>
      <c r="U389" s="86">
        <v>0</v>
      </c>
      <c r="V389" s="86">
        <v>0</v>
      </c>
      <c r="W389" s="86">
        <v>0</v>
      </c>
      <c r="X389" s="86">
        <v>0</v>
      </c>
      <c r="Y389" s="86">
        <v>0</v>
      </c>
      <c r="Z389" s="86">
        <v>0</v>
      </c>
      <c r="AA389" s="86">
        <v>0</v>
      </c>
      <c r="AB389" s="88">
        <v>2020</v>
      </c>
    </row>
    <row r="390" spans="1:28" s="1" customFormat="1" ht="35.25" customHeight="1">
      <c r="A390" s="1">
        <v>1</v>
      </c>
      <c r="B390" s="38">
        <f>SUBTOTAL(103,$A$11:A390)</f>
        <v>370</v>
      </c>
      <c r="C390" s="82" t="s">
        <v>814</v>
      </c>
      <c r="D390" s="83">
        <f t="shared" ref="D390:D407" si="21">E390+F390+G390+H390+I390+J390+L390+M390+N390+O390+P390+Q390+R390+S390+T390+U390+V390+W390+X390+Y390+Z390+AA390</f>
        <v>670514.39</v>
      </c>
      <c r="E390" s="86">
        <v>0</v>
      </c>
      <c r="F390" s="86">
        <v>0</v>
      </c>
      <c r="G390" s="86">
        <v>670514.39</v>
      </c>
      <c r="H390" s="86">
        <v>0</v>
      </c>
      <c r="I390" s="86">
        <v>0</v>
      </c>
      <c r="J390" s="86">
        <v>0</v>
      </c>
      <c r="K390" s="87">
        <v>0</v>
      </c>
      <c r="L390" s="86">
        <v>0</v>
      </c>
      <c r="M390" s="86">
        <v>0</v>
      </c>
      <c r="N390" s="86">
        <v>0</v>
      </c>
      <c r="O390" s="86">
        <v>0</v>
      </c>
      <c r="P390" s="86">
        <v>0</v>
      </c>
      <c r="Q390" s="86">
        <v>0</v>
      </c>
      <c r="R390" s="86">
        <v>0</v>
      </c>
      <c r="S390" s="86">
        <v>0</v>
      </c>
      <c r="T390" s="86">
        <v>0</v>
      </c>
      <c r="U390" s="86">
        <v>0</v>
      </c>
      <c r="V390" s="86">
        <v>0</v>
      </c>
      <c r="W390" s="86">
        <v>0</v>
      </c>
      <c r="X390" s="86">
        <v>0</v>
      </c>
      <c r="Y390" s="86">
        <v>0</v>
      </c>
      <c r="Z390" s="86">
        <v>0</v>
      </c>
      <c r="AA390" s="86">
        <v>0</v>
      </c>
      <c r="AB390" s="88">
        <v>2020</v>
      </c>
    </row>
    <row r="391" spans="1:28" s="1" customFormat="1" ht="35.25" customHeight="1">
      <c r="A391" s="1">
        <v>1</v>
      </c>
      <c r="B391" s="38">
        <f>SUBTOTAL(103,$A$11:A391)</f>
        <v>371</v>
      </c>
      <c r="C391" s="82" t="s">
        <v>815</v>
      </c>
      <c r="D391" s="83">
        <f t="shared" si="21"/>
        <v>263492</v>
      </c>
      <c r="E391" s="86">
        <v>0</v>
      </c>
      <c r="F391" s="86">
        <v>263492</v>
      </c>
      <c r="G391" s="86">
        <v>0</v>
      </c>
      <c r="H391" s="86">
        <v>0</v>
      </c>
      <c r="I391" s="86">
        <v>0</v>
      </c>
      <c r="J391" s="86">
        <v>0</v>
      </c>
      <c r="K391" s="87">
        <v>0</v>
      </c>
      <c r="L391" s="86">
        <v>0</v>
      </c>
      <c r="M391" s="86">
        <v>0</v>
      </c>
      <c r="N391" s="86">
        <v>0</v>
      </c>
      <c r="O391" s="86">
        <v>0</v>
      </c>
      <c r="P391" s="86">
        <v>0</v>
      </c>
      <c r="Q391" s="86">
        <v>0</v>
      </c>
      <c r="R391" s="86">
        <v>0</v>
      </c>
      <c r="S391" s="86">
        <v>0</v>
      </c>
      <c r="T391" s="86">
        <v>0</v>
      </c>
      <c r="U391" s="86">
        <v>0</v>
      </c>
      <c r="V391" s="86">
        <v>0</v>
      </c>
      <c r="W391" s="86">
        <v>0</v>
      </c>
      <c r="X391" s="86">
        <v>0</v>
      </c>
      <c r="Y391" s="86">
        <v>0</v>
      </c>
      <c r="Z391" s="86">
        <v>0</v>
      </c>
      <c r="AA391" s="86">
        <v>0</v>
      </c>
      <c r="AB391" s="88">
        <v>2020</v>
      </c>
    </row>
    <row r="392" spans="1:28" s="1" customFormat="1" ht="35.25" customHeight="1">
      <c r="A392" s="1">
        <v>1</v>
      </c>
      <c r="B392" s="38">
        <f>SUBTOTAL(103,$A$11:A392)</f>
        <v>372</v>
      </c>
      <c r="C392" s="82" t="s">
        <v>816</v>
      </c>
      <c r="D392" s="83">
        <f t="shared" si="21"/>
        <v>1832116</v>
      </c>
      <c r="E392" s="86">
        <v>0</v>
      </c>
      <c r="F392" s="86">
        <v>0</v>
      </c>
      <c r="G392" s="86">
        <v>0</v>
      </c>
      <c r="H392" s="86">
        <v>0</v>
      </c>
      <c r="I392" s="86">
        <v>0</v>
      </c>
      <c r="J392" s="86">
        <v>0</v>
      </c>
      <c r="K392" s="87">
        <v>1</v>
      </c>
      <c r="L392" s="86">
        <v>1832116</v>
      </c>
      <c r="M392" s="86">
        <v>0</v>
      </c>
      <c r="N392" s="86">
        <v>0</v>
      </c>
      <c r="O392" s="86">
        <v>0</v>
      </c>
      <c r="P392" s="86">
        <v>0</v>
      </c>
      <c r="Q392" s="86">
        <v>0</v>
      </c>
      <c r="R392" s="86">
        <v>0</v>
      </c>
      <c r="S392" s="86">
        <v>0</v>
      </c>
      <c r="T392" s="86">
        <v>0</v>
      </c>
      <c r="U392" s="86">
        <v>0</v>
      </c>
      <c r="V392" s="86">
        <v>0</v>
      </c>
      <c r="W392" s="86">
        <v>0</v>
      </c>
      <c r="X392" s="86">
        <v>0</v>
      </c>
      <c r="Y392" s="86">
        <v>0</v>
      </c>
      <c r="Z392" s="86">
        <v>0</v>
      </c>
      <c r="AA392" s="86">
        <v>0</v>
      </c>
      <c r="AB392" s="88">
        <v>2020</v>
      </c>
    </row>
    <row r="393" spans="1:28" s="1" customFormat="1" ht="35.25" customHeight="1">
      <c r="A393" s="1">
        <v>1</v>
      </c>
      <c r="B393" s="38">
        <f>SUBTOTAL(103,$A$11:A393)</f>
        <v>373</v>
      </c>
      <c r="C393" s="82" t="s">
        <v>817</v>
      </c>
      <c r="D393" s="83">
        <f t="shared" si="21"/>
        <v>643086</v>
      </c>
      <c r="E393" s="86">
        <v>0</v>
      </c>
      <c r="F393" s="86">
        <v>0</v>
      </c>
      <c r="G393" s="86">
        <v>0</v>
      </c>
      <c r="H393" s="86">
        <v>0</v>
      </c>
      <c r="I393" s="86">
        <v>0</v>
      </c>
      <c r="J393" s="86">
        <v>0</v>
      </c>
      <c r="K393" s="87">
        <v>0</v>
      </c>
      <c r="L393" s="86">
        <v>0</v>
      </c>
      <c r="M393" s="86">
        <v>643086</v>
      </c>
      <c r="N393" s="86">
        <v>0</v>
      </c>
      <c r="O393" s="86">
        <v>0</v>
      </c>
      <c r="P393" s="86">
        <v>0</v>
      </c>
      <c r="Q393" s="86">
        <v>0</v>
      </c>
      <c r="R393" s="86">
        <v>0</v>
      </c>
      <c r="S393" s="86">
        <v>0</v>
      </c>
      <c r="T393" s="86">
        <v>0</v>
      </c>
      <c r="U393" s="86">
        <v>0</v>
      </c>
      <c r="V393" s="86">
        <v>0</v>
      </c>
      <c r="W393" s="86">
        <v>0</v>
      </c>
      <c r="X393" s="86">
        <v>0</v>
      </c>
      <c r="Y393" s="86">
        <v>0</v>
      </c>
      <c r="Z393" s="86">
        <v>0</v>
      </c>
      <c r="AA393" s="86">
        <v>0</v>
      </c>
      <c r="AB393" s="88">
        <v>2020</v>
      </c>
    </row>
    <row r="394" spans="1:28" s="1" customFormat="1" ht="35.25" customHeight="1">
      <c r="A394" s="1">
        <v>1</v>
      </c>
      <c r="B394" s="38">
        <f>SUBTOTAL(103,$A$11:A394)</f>
        <v>374</v>
      </c>
      <c r="C394" s="82" t="s">
        <v>818</v>
      </c>
      <c r="D394" s="83">
        <f t="shared" si="21"/>
        <v>249000</v>
      </c>
      <c r="E394" s="86">
        <v>0</v>
      </c>
      <c r="F394" s="86">
        <v>0</v>
      </c>
      <c r="G394" s="86">
        <v>0</v>
      </c>
      <c r="H394" s="86">
        <v>0</v>
      </c>
      <c r="I394" s="86">
        <v>0</v>
      </c>
      <c r="J394" s="86">
        <v>0</v>
      </c>
      <c r="K394" s="87">
        <v>0</v>
      </c>
      <c r="L394" s="86">
        <v>0</v>
      </c>
      <c r="M394" s="86">
        <v>249000</v>
      </c>
      <c r="N394" s="86">
        <v>0</v>
      </c>
      <c r="O394" s="86">
        <v>0</v>
      </c>
      <c r="P394" s="86">
        <v>0</v>
      </c>
      <c r="Q394" s="86">
        <v>0</v>
      </c>
      <c r="R394" s="86">
        <v>0</v>
      </c>
      <c r="S394" s="86">
        <v>0</v>
      </c>
      <c r="T394" s="86">
        <v>0</v>
      </c>
      <c r="U394" s="86">
        <v>0</v>
      </c>
      <c r="V394" s="86">
        <v>0</v>
      </c>
      <c r="W394" s="86">
        <v>0</v>
      </c>
      <c r="X394" s="86">
        <v>0</v>
      </c>
      <c r="Y394" s="86">
        <v>0</v>
      </c>
      <c r="Z394" s="86">
        <v>0</v>
      </c>
      <c r="AA394" s="86">
        <v>0</v>
      </c>
      <c r="AB394" s="88">
        <v>2020</v>
      </c>
    </row>
    <row r="395" spans="1:28" s="1" customFormat="1" ht="35.25" customHeight="1">
      <c r="A395" s="1">
        <v>1</v>
      </c>
      <c r="B395" s="38">
        <f>SUBTOTAL(103,$A$11:A395)</f>
        <v>375</v>
      </c>
      <c r="C395" s="82" t="s">
        <v>819</v>
      </c>
      <c r="D395" s="83">
        <f t="shared" si="21"/>
        <v>223000</v>
      </c>
      <c r="E395" s="86">
        <v>0</v>
      </c>
      <c r="F395" s="86">
        <v>0</v>
      </c>
      <c r="G395" s="86">
        <v>0</v>
      </c>
      <c r="H395" s="86">
        <v>0</v>
      </c>
      <c r="I395" s="86">
        <v>0</v>
      </c>
      <c r="J395" s="86">
        <v>0</v>
      </c>
      <c r="K395" s="87">
        <v>0</v>
      </c>
      <c r="L395" s="86">
        <v>0</v>
      </c>
      <c r="M395" s="86">
        <v>0</v>
      </c>
      <c r="N395" s="86">
        <v>0</v>
      </c>
      <c r="O395" s="86">
        <v>223000</v>
      </c>
      <c r="P395" s="86">
        <v>0</v>
      </c>
      <c r="Q395" s="86">
        <v>0</v>
      </c>
      <c r="R395" s="86">
        <v>0</v>
      </c>
      <c r="S395" s="86">
        <v>0</v>
      </c>
      <c r="T395" s="86">
        <v>0</v>
      </c>
      <c r="U395" s="86">
        <v>0</v>
      </c>
      <c r="V395" s="86">
        <v>0</v>
      </c>
      <c r="W395" s="86">
        <v>0</v>
      </c>
      <c r="X395" s="86">
        <v>0</v>
      </c>
      <c r="Y395" s="86">
        <v>0</v>
      </c>
      <c r="Z395" s="86">
        <v>0</v>
      </c>
      <c r="AA395" s="86">
        <v>0</v>
      </c>
      <c r="AB395" s="88">
        <v>2020</v>
      </c>
    </row>
    <row r="396" spans="1:28" s="1" customFormat="1" ht="35.25" customHeight="1">
      <c r="A396" s="1">
        <v>1</v>
      </c>
      <c r="B396" s="38">
        <f>SUBTOTAL(103,$A$11:A396)</f>
        <v>376</v>
      </c>
      <c r="C396" s="82" t="s">
        <v>820</v>
      </c>
      <c r="D396" s="83">
        <f t="shared" si="21"/>
        <v>1137848</v>
      </c>
      <c r="E396" s="86">
        <v>0</v>
      </c>
      <c r="F396" s="86">
        <v>0</v>
      </c>
      <c r="G396" s="86">
        <v>0</v>
      </c>
      <c r="H396" s="86">
        <v>0</v>
      </c>
      <c r="I396" s="86">
        <v>0</v>
      </c>
      <c r="J396" s="86">
        <v>0</v>
      </c>
      <c r="K396" s="87">
        <v>0</v>
      </c>
      <c r="L396" s="86">
        <v>0</v>
      </c>
      <c r="M396" s="86">
        <v>0</v>
      </c>
      <c r="N396" s="86">
        <v>1137848</v>
      </c>
      <c r="O396" s="86">
        <v>0</v>
      </c>
      <c r="P396" s="86">
        <v>0</v>
      </c>
      <c r="Q396" s="86">
        <v>0</v>
      </c>
      <c r="R396" s="86">
        <v>0</v>
      </c>
      <c r="S396" s="86">
        <v>0</v>
      </c>
      <c r="T396" s="86">
        <v>0</v>
      </c>
      <c r="U396" s="86">
        <v>0</v>
      </c>
      <c r="V396" s="86">
        <v>0</v>
      </c>
      <c r="W396" s="86">
        <v>0</v>
      </c>
      <c r="X396" s="86">
        <v>0</v>
      </c>
      <c r="Y396" s="86">
        <v>0</v>
      </c>
      <c r="Z396" s="86">
        <v>0</v>
      </c>
      <c r="AA396" s="86">
        <v>0</v>
      </c>
      <c r="AB396" s="88">
        <v>2020</v>
      </c>
    </row>
    <row r="397" spans="1:28" s="1" customFormat="1" ht="35.25" customHeight="1">
      <c r="A397" s="1">
        <v>1</v>
      </c>
      <c r="B397" s="38">
        <f>SUBTOTAL(103,$A$11:A397)</f>
        <v>377</v>
      </c>
      <c r="C397" s="82" t="s">
        <v>821</v>
      </c>
      <c r="D397" s="83">
        <f t="shared" si="21"/>
        <v>210700</v>
      </c>
      <c r="E397" s="86">
        <v>0</v>
      </c>
      <c r="F397" s="86">
        <v>0</v>
      </c>
      <c r="G397" s="86">
        <v>210700</v>
      </c>
      <c r="H397" s="86">
        <v>0</v>
      </c>
      <c r="I397" s="86">
        <v>0</v>
      </c>
      <c r="J397" s="86">
        <v>0</v>
      </c>
      <c r="K397" s="87">
        <v>0</v>
      </c>
      <c r="L397" s="86">
        <v>0</v>
      </c>
      <c r="M397" s="86">
        <v>0</v>
      </c>
      <c r="N397" s="86">
        <v>0</v>
      </c>
      <c r="O397" s="86">
        <v>0</v>
      </c>
      <c r="P397" s="86">
        <v>0</v>
      </c>
      <c r="Q397" s="86">
        <v>0</v>
      </c>
      <c r="R397" s="86">
        <v>0</v>
      </c>
      <c r="S397" s="86">
        <v>0</v>
      </c>
      <c r="T397" s="86">
        <v>0</v>
      </c>
      <c r="U397" s="86">
        <v>0</v>
      </c>
      <c r="V397" s="86">
        <v>0</v>
      </c>
      <c r="W397" s="86">
        <v>0</v>
      </c>
      <c r="X397" s="86">
        <v>0</v>
      </c>
      <c r="Y397" s="86">
        <v>0</v>
      </c>
      <c r="Z397" s="86">
        <v>0</v>
      </c>
      <c r="AA397" s="86">
        <v>0</v>
      </c>
      <c r="AB397" s="88">
        <v>2020</v>
      </c>
    </row>
    <row r="398" spans="1:28" s="1" customFormat="1" ht="35.25" customHeight="1">
      <c r="A398" s="1">
        <v>1</v>
      </c>
      <c r="B398" s="38">
        <f>SUBTOTAL(103,$A$11:A398)</f>
        <v>378</v>
      </c>
      <c r="C398" s="82" t="s">
        <v>822</v>
      </c>
      <c r="D398" s="83">
        <f t="shared" si="21"/>
        <v>492012</v>
      </c>
      <c r="E398" s="86">
        <v>0</v>
      </c>
      <c r="F398" s="86">
        <v>0</v>
      </c>
      <c r="G398" s="86">
        <v>0</v>
      </c>
      <c r="H398" s="86">
        <v>0</v>
      </c>
      <c r="I398" s="86">
        <v>492012</v>
      </c>
      <c r="J398" s="86">
        <v>0</v>
      </c>
      <c r="K398" s="87">
        <v>0</v>
      </c>
      <c r="L398" s="86">
        <v>0</v>
      </c>
      <c r="M398" s="86">
        <v>0</v>
      </c>
      <c r="N398" s="86">
        <v>0</v>
      </c>
      <c r="O398" s="86">
        <v>0</v>
      </c>
      <c r="P398" s="86">
        <v>0</v>
      </c>
      <c r="Q398" s="86">
        <v>0</v>
      </c>
      <c r="R398" s="86">
        <v>0</v>
      </c>
      <c r="S398" s="86">
        <v>0</v>
      </c>
      <c r="T398" s="86">
        <v>0</v>
      </c>
      <c r="U398" s="86">
        <v>0</v>
      </c>
      <c r="V398" s="86">
        <v>0</v>
      </c>
      <c r="W398" s="86">
        <v>0</v>
      </c>
      <c r="X398" s="86">
        <v>0</v>
      </c>
      <c r="Y398" s="86">
        <v>0</v>
      </c>
      <c r="Z398" s="86">
        <v>0</v>
      </c>
      <c r="AA398" s="86">
        <v>0</v>
      </c>
      <c r="AB398" s="88">
        <v>2020</v>
      </c>
    </row>
    <row r="399" spans="1:28" s="1" customFormat="1" ht="35.25" customHeight="1">
      <c r="A399" s="1">
        <v>1</v>
      </c>
      <c r="B399" s="38">
        <f>SUBTOTAL(103,$A$11:A399)</f>
        <v>379</v>
      </c>
      <c r="C399" s="82" t="s">
        <v>823</v>
      </c>
      <c r="D399" s="83">
        <f t="shared" si="21"/>
        <v>63000</v>
      </c>
      <c r="E399" s="86">
        <v>0</v>
      </c>
      <c r="F399" s="86">
        <v>63000</v>
      </c>
      <c r="G399" s="86">
        <v>0</v>
      </c>
      <c r="H399" s="86">
        <v>0</v>
      </c>
      <c r="I399" s="86">
        <v>0</v>
      </c>
      <c r="J399" s="86">
        <v>0</v>
      </c>
      <c r="K399" s="87">
        <v>0</v>
      </c>
      <c r="L399" s="86">
        <v>0</v>
      </c>
      <c r="M399" s="86">
        <v>0</v>
      </c>
      <c r="N399" s="86">
        <v>0</v>
      </c>
      <c r="O399" s="86">
        <v>0</v>
      </c>
      <c r="P399" s="86">
        <v>0</v>
      </c>
      <c r="Q399" s="86">
        <v>0</v>
      </c>
      <c r="R399" s="86">
        <v>0</v>
      </c>
      <c r="S399" s="86">
        <v>0</v>
      </c>
      <c r="T399" s="86">
        <v>0</v>
      </c>
      <c r="U399" s="86">
        <v>0</v>
      </c>
      <c r="V399" s="86">
        <v>0</v>
      </c>
      <c r="W399" s="86">
        <v>0</v>
      </c>
      <c r="X399" s="86">
        <v>0</v>
      </c>
      <c r="Y399" s="86">
        <v>0</v>
      </c>
      <c r="Z399" s="86">
        <v>0</v>
      </c>
      <c r="AA399" s="86">
        <v>0</v>
      </c>
      <c r="AB399" s="88">
        <v>2020</v>
      </c>
    </row>
    <row r="400" spans="1:28" s="1" customFormat="1" ht="35.25" customHeight="1">
      <c r="A400" s="1">
        <v>1</v>
      </c>
      <c r="B400" s="38">
        <f>SUBTOTAL(103,$A$11:A400)</f>
        <v>380</v>
      </c>
      <c r="C400" s="82" t="s">
        <v>824</v>
      </c>
      <c r="D400" s="83">
        <f t="shared" si="21"/>
        <v>361000</v>
      </c>
      <c r="E400" s="86">
        <v>0</v>
      </c>
      <c r="F400" s="86">
        <v>0</v>
      </c>
      <c r="G400" s="86">
        <v>0</v>
      </c>
      <c r="H400" s="86">
        <v>0</v>
      </c>
      <c r="I400" s="86">
        <v>0</v>
      </c>
      <c r="J400" s="86">
        <v>0</v>
      </c>
      <c r="K400" s="87">
        <v>0</v>
      </c>
      <c r="L400" s="86">
        <v>0</v>
      </c>
      <c r="M400" s="86">
        <v>0</v>
      </c>
      <c r="N400" s="86">
        <v>0</v>
      </c>
      <c r="O400" s="86">
        <v>361000</v>
      </c>
      <c r="P400" s="86">
        <v>0</v>
      </c>
      <c r="Q400" s="86">
        <v>0</v>
      </c>
      <c r="R400" s="86">
        <v>0</v>
      </c>
      <c r="S400" s="86">
        <v>0</v>
      </c>
      <c r="T400" s="86">
        <v>0</v>
      </c>
      <c r="U400" s="86">
        <v>0</v>
      </c>
      <c r="V400" s="86">
        <v>0</v>
      </c>
      <c r="W400" s="86">
        <v>0</v>
      </c>
      <c r="X400" s="86">
        <v>0</v>
      </c>
      <c r="Y400" s="86">
        <v>0</v>
      </c>
      <c r="Z400" s="86">
        <v>0</v>
      </c>
      <c r="AA400" s="86">
        <v>0</v>
      </c>
      <c r="AB400" s="88">
        <v>2020</v>
      </c>
    </row>
    <row r="401" spans="1:28" s="1" customFormat="1" ht="35.25" customHeight="1">
      <c r="A401" s="1">
        <v>1</v>
      </c>
      <c r="B401" s="38">
        <f>SUBTOTAL(103,$A$11:A401)</f>
        <v>381</v>
      </c>
      <c r="C401" s="82" t="s">
        <v>825</v>
      </c>
      <c r="D401" s="83">
        <f t="shared" si="21"/>
        <v>124000</v>
      </c>
      <c r="E401" s="86">
        <v>0</v>
      </c>
      <c r="F401" s="86">
        <v>0</v>
      </c>
      <c r="G401" s="86">
        <v>0</v>
      </c>
      <c r="H401" s="86">
        <v>0</v>
      </c>
      <c r="I401" s="86">
        <v>0</v>
      </c>
      <c r="J401" s="86">
        <v>0</v>
      </c>
      <c r="K401" s="87">
        <v>0</v>
      </c>
      <c r="L401" s="86">
        <v>0</v>
      </c>
      <c r="M401" s="86">
        <v>0</v>
      </c>
      <c r="N401" s="86">
        <v>0</v>
      </c>
      <c r="O401" s="86">
        <v>124000</v>
      </c>
      <c r="P401" s="86">
        <v>0</v>
      </c>
      <c r="Q401" s="86">
        <v>0</v>
      </c>
      <c r="R401" s="86">
        <v>0</v>
      </c>
      <c r="S401" s="86">
        <v>0</v>
      </c>
      <c r="T401" s="86">
        <v>0</v>
      </c>
      <c r="U401" s="86">
        <v>0</v>
      </c>
      <c r="V401" s="86">
        <v>0</v>
      </c>
      <c r="W401" s="86">
        <v>0</v>
      </c>
      <c r="X401" s="86">
        <v>0</v>
      </c>
      <c r="Y401" s="86">
        <v>0</v>
      </c>
      <c r="Z401" s="86">
        <v>0</v>
      </c>
      <c r="AA401" s="86">
        <v>0</v>
      </c>
      <c r="AB401" s="88">
        <v>2020</v>
      </c>
    </row>
    <row r="402" spans="1:28" s="1" customFormat="1" ht="35.25" customHeight="1">
      <c r="A402" s="1">
        <v>1</v>
      </c>
      <c r="B402" s="38">
        <f>SUBTOTAL(103,$A$11:A402)</f>
        <v>382</v>
      </c>
      <c r="C402" s="82" t="s">
        <v>826</v>
      </c>
      <c r="D402" s="83">
        <f t="shared" si="21"/>
        <v>1832116</v>
      </c>
      <c r="E402" s="86">
        <v>0</v>
      </c>
      <c r="F402" s="86">
        <v>0</v>
      </c>
      <c r="G402" s="86">
        <v>0</v>
      </c>
      <c r="H402" s="86">
        <v>0</v>
      </c>
      <c r="I402" s="86">
        <v>0</v>
      </c>
      <c r="J402" s="86">
        <v>0</v>
      </c>
      <c r="K402" s="87">
        <v>1</v>
      </c>
      <c r="L402" s="86">
        <v>1832116</v>
      </c>
      <c r="M402" s="86">
        <v>0</v>
      </c>
      <c r="N402" s="86">
        <v>0</v>
      </c>
      <c r="O402" s="86">
        <v>0</v>
      </c>
      <c r="P402" s="86">
        <v>0</v>
      </c>
      <c r="Q402" s="86">
        <v>0</v>
      </c>
      <c r="R402" s="86">
        <v>0</v>
      </c>
      <c r="S402" s="86">
        <v>0</v>
      </c>
      <c r="T402" s="86">
        <v>0</v>
      </c>
      <c r="U402" s="86">
        <v>0</v>
      </c>
      <c r="V402" s="86">
        <v>0</v>
      </c>
      <c r="W402" s="86">
        <v>0</v>
      </c>
      <c r="X402" s="86">
        <v>0</v>
      </c>
      <c r="Y402" s="86">
        <v>0</v>
      </c>
      <c r="Z402" s="86">
        <v>0</v>
      </c>
      <c r="AA402" s="86">
        <v>0</v>
      </c>
      <c r="AB402" s="88">
        <v>2020</v>
      </c>
    </row>
    <row r="403" spans="1:28" s="1" customFormat="1" ht="35.25" customHeight="1">
      <c r="A403" s="1">
        <v>1</v>
      </c>
      <c r="B403" s="38">
        <f>SUBTOTAL(103,$A$11:A403)</f>
        <v>383</v>
      </c>
      <c r="C403" s="82" t="s">
        <v>827</v>
      </c>
      <c r="D403" s="83">
        <f t="shared" si="21"/>
        <v>752530</v>
      </c>
      <c r="E403" s="86">
        <v>0</v>
      </c>
      <c r="F403" s="86">
        <v>0</v>
      </c>
      <c r="G403" s="86">
        <v>0</v>
      </c>
      <c r="H403" s="86">
        <v>0</v>
      </c>
      <c r="I403" s="86">
        <v>0</v>
      </c>
      <c r="J403" s="86">
        <v>0</v>
      </c>
      <c r="K403" s="87">
        <v>0</v>
      </c>
      <c r="L403" s="86">
        <v>0</v>
      </c>
      <c r="M403" s="86">
        <v>600078</v>
      </c>
      <c r="N403" s="86">
        <v>0</v>
      </c>
      <c r="O403" s="86">
        <v>152452</v>
      </c>
      <c r="P403" s="86">
        <v>0</v>
      </c>
      <c r="Q403" s="86">
        <v>0</v>
      </c>
      <c r="R403" s="86">
        <v>0</v>
      </c>
      <c r="S403" s="86">
        <v>0</v>
      </c>
      <c r="T403" s="86">
        <v>0</v>
      </c>
      <c r="U403" s="86">
        <v>0</v>
      </c>
      <c r="V403" s="86">
        <v>0</v>
      </c>
      <c r="W403" s="86">
        <v>0</v>
      </c>
      <c r="X403" s="86">
        <v>0</v>
      </c>
      <c r="Y403" s="86">
        <v>0</v>
      </c>
      <c r="Z403" s="86">
        <v>0</v>
      </c>
      <c r="AA403" s="86">
        <v>0</v>
      </c>
      <c r="AB403" s="88">
        <v>2020</v>
      </c>
    </row>
    <row r="404" spans="1:28" s="1" customFormat="1" ht="35.25" customHeight="1">
      <c r="A404" s="1">
        <v>1</v>
      </c>
      <c r="B404" s="38">
        <f>SUBTOTAL(103,$A$11:A404)</f>
        <v>384</v>
      </c>
      <c r="C404" s="82" t="s">
        <v>828</v>
      </c>
      <c r="D404" s="83">
        <f t="shared" si="21"/>
        <v>317122.2</v>
      </c>
      <c r="E404" s="86">
        <v>0</v>
      </c>
      <c r="F404" s="86">
        <v>0</v>
      </c>
      <c r="G404" s="86">
        <v>0</v>
      </c>
      <c r="H404" s="86">
        <v>0</v>
      </c>
      <c r="I404" s="86">
        <v>0</v>
      </c>
      <c r="J404" s="86">
        <v>0</v>
      </c>
      <c r="K404" s="87">
        <v>0</v>
      </c>
      <c r="L404" s="86">
        <v>0</v>
      </c>
      <c r="M404" s="86">
        <v>317122.2</v>
      </c>
      <c r="N404" s="86">
        <v>0</v>
      </c>
      <c r="O404" s="86">
        <v>0</v>
      </c>
      <c r="P404" s="86">
        <v>0</v>
      </c>
      <c r="Q404" s="86">
        <v>0</v>
      </c>
      <c r="R404" s="86">
        <v>0</v>
      </c>
      <c r="S404" s="86">
        <v>0</v>
      </c>
      <c r="T404" s="86">
        <v>0</v>
      </c>
      <c r="U404" s="86">
        <v>0</v>
      </c>
      <c r="V404" s="86">
        <v>0</v>
      </c>
      <c r="W404" s="86">
        <v>0</v>
      </c>
      <c r="X404" s="86">
        <v>0</v>
      </c>
      <c r="Y404" s="86">
        <v>0</v>
      </c>
      <c r="Z404" s="86">
        <v>0</v>
      </c>
      <c r="AA404" s="86">
        <v>0</v>
      </c>
      <c r="AB404" s="88">
        <v>2020</v>
      </c>
    </row>
    <row r="405" spans="1:28" s="1" customFormat="1" ht="35.25" customHeight="1">
      <c r="A405" s="1">
        <v>1</v>
      </c>
      <c r="B405" s="38">
        <f>SUBTOTAL(103,$A$11:A405)</f>
        <v>385</v>
      </c>
      <c r="C405" s="82" t="s">
        <v>829</v>
      </c>
      <c r="D405" s="83">
        <f t="shared" si="21"/>
        <v>973016</v>
      </c>
      <c r="E405" s="86">
        <v>0</v>
      </c>
      <c r="F405" s="86">
        <v>0</v>
      </c>
      <c r="G405" s="86">
        <v>0</v>
      </c>
      <c r="H405" s="86">
        <v>0</v>
      </c>
      <c r="I405" s="86">
        <v>0</v>
      </c>
      <c r="J405" s="86">
        <v>0</v>
      </c>
      <c r="K405" s="87">
        <v>0</v>
      </c>
      <c r="L405" s="86">
        <v>0</v>
      </c>
      <c r="M405" s="86">
        <v>973016</v>
      </c>
      <c r="N405" s="86">
        <v>0</v>
      </c>
      <c r="O405" s="86">
        <v>0</v>
      </c>
      <c r="P405" s="86">
        <v>0</v>
      </c>
      <c r="Q405" s="86">
        <v>0</v>
      </c>
      <c r="R405" s="86">
        <v>0</v>
      </c>
      <c r="S405" s="86">
        <v>0</v>
      </c>
      <c r="T405" s="86">
        <v>0</v>
      </c>
      <c r="U405" s="86">
        <v>0</v>
      </c>
      <c r="V405" s="86">
        <v>0</v>
      </c>
      <c r="W405" s="86">
        <v>0</v>
      </c>
      <c r="X405" s="86">
        <v>0</v>
      </c>
      <c r="Y405" s="86">
        <v>0</v>
      </c>
      <c r="Z405" s="86">
        <v>0</v>
      </c>
      <c r="AA405" s="86">
        <v>0</v>
      </c>
      <c r="AB405" s="88">
        <v>2020</v>
      </c>
    </row>
    <row r="406" spans="1:28" s="1" customFormat="1" ht="35.25" customHeight="1">
      <c r="A406" s="1">
        <v>1</v>
      </c>
      <c r="B406" s="38">
        <f>SUBTOTAL(103,$A$11:A406)</f>
        <v>386</v>
      </c>
      <c r="C406" s="82" t="s">
        <v>830</v>
      </c>
      <c r="D406" s="83">
        <f t="shared" si="21"/>
        <v>350223</v>
      </c>
      <c r="E406" s="86">
        <v>0</v>
      </c>
      <c r="F406" s="86">
        <v>0</v>
      </c>
      <c r="G406" s="86">
        <v>0</v>
      </c>
      <c r="H406" s="86">
        <v>0</v>
      </c>
      <c r="I406" s="86">
        <v>0</v>
      </c>
      <c r="J406" s="86">
        <v>0</v>
      </c>
      <c r="K406" s="87">
        <v>0</v>
      </c>
      <c r="L406" s="86">
        <v>0</v>
      </c>
      <c r="M406" s="86">
        <v>0</v>
      </c>
      <c r="N406" s="86">
        <v>0</v>
      </c>
      <c r="O406" s="86">
        <v>350223</v>
      </c>
      <c r="P406" s="86">
        <v>0</v>
      </c>
      <c r="Q406" s="86">
        <v>0</v>
      </c>
      <c r="R406" s="86">
        <v>0</v>
      </c>
      <c r="S406" s="86">
        <v>0</v>
      </c>
      <c r="T406" s="86">
        <v>0</v>
      </c>
      <c r="U406" s="86">
        <v>0</v>
      </c>
      <c r="V406" s="86">
        <v>0</v>
      </c>
      <c r="W406" s="86">
        <v>0</v>
      </c>
      <c r="X406" s="86">
        <v>0</v>
      </c>
      <c r="Y406" s="86">
        <v>0</v>
      </c>
      <c r="Z406" s="86">
        <v>0</v>
      </c>
      <c r="AA406" s="86">
        <v>0</v>
      </c>
      <c r="AB406" s="88">
        <v>2020</v>
      </c>
    </row>
    <row r="407" spans="1:28" s="1" customFormat="1" ht="35.25" customHeight="1">
      <c r="A407" s="1">
        <v>1</v>
      </c>
      <c r="B407" s="38">
        <f>SUBTOTAL(103,$A$11:A407)</f>
        <v>387</v>
      </c>
      <c r="C407" s="82" t="s">
        <v>831</v>
      </c>
      <c r="D407" s="83">
        <f t="shared" si="21"/>
        <v>1628343.96</v>
      </c>
      <c r="E407" s="86">
        <v>0</v>
      </c>
      <c r="F407" s="86">
        <v>0</v>
      </c>
      <c r="G407" s="86">
        <v>390000</v>
      </c>
      <c r="H407" s="86">
        <v>0</v>
      </c>
      <c r="I407" s="86">
        <v>0</v>
      </c>
      <c r="J407" s="86">
        <v>0</v>
      </c>
      <c r="K407" s="87">
        <v>0</v>
      </c>
      <c r="L407" s="86">
        <v>0</v>
      </c>
      <c r="M407" s="86">
        <v>623200.5</v>
      </c>
      <c r="N407" s="86">
        <v>0</v>
      </c>
      <c r="O407" s="86">
        <v>615143.46</v>
      </c>
      <c r="P407" s="86">
        <v>0</v>
      </c>
      <c r="Q407" s="86">
        <v>0</v>
      </c>
      <c r="R407" s="86">
        <v>0</v>
      </c>
      <c r="S407" s="86">
        <v>0</v>
      </c>
      <c r="T407" s="86">
        <v>0</v>
      </c>
      <c r="U407" s="86">
        <v>0</v>
      </c>
      <c r="V407" s="86">
        <v>0</v>
      </c>
      <c r="W407" s="86">
        <v>0</v>
      </c>
      <c r="X407" s="86">
        <v>0</v>
      </c>
      <c r="Y407" s="86">
        <v>0</v>
      </c>
      <c r="Z407" s="86">
        <v>0</v>
      </c>
      <c r="AA407" s="86">
        <v>0</v>
      </c>
      <c r="AB407" s="88">
        <v>2020</v>
      </c>
    </row>
    <row r="408" spans="1:28" s="1" customFormat="1" ht="35.25" customHeight="1">
      <c r="A408" s="1">
        <v>1</v>
      </c>
      <c r="B408" s="38">
        <f>SUBTOTAL(103,$A$11:A408)</f>
        <v>388</v>
      </c>
      <c r="C408" s="82" t="s">
        <v>832</v>
      </c>
      <c r="D408" s="83">
        <f>E408+F408+G408+H408+I408+J408+L408+M408+N408+O408+P408+Q408+R408+S408+T408+U408+V408+W408+X408+Y408+Z408+AA408</f>
        <v>391500</v>
      </c>
      <c r="E408" s="86">
        <v>0</v>
      </c>
      <c r="F408" s="86">
        <v>0</v>
      </c>
      <c r="G408" s="86">
        <v>0</v>
      </c>
      <c r="H408" s="86">
        <v>0</v>
      </c>
      <c r="I408" s="86">
        <v>0</v>
      </c>
      <c r="J408" s="86">
        <v>0</v>
      </c>
      <c r="K408" s="87">
        <v>0</v>
      </c>
      <c r="L408" s="86">
        <v>0</v>
      </c>
      <c r="M408" s="86">
        <v>391500</v>
      </c>
      <c r="N408" s="86">
        <v>0</v>
      </c>
      <c r="O408" s="86">
        <v>0</v>
      </c>
      <c r="P408" s="86">
        <v>0</v>
      </c>
      <c r="Q408" s="86">
        <v>0</v>
      </c>
      <c r="R408" s="86">
        <v>0</v>
      </c>
      <c r="S408" s="86">
        <v>0</v>
      </c>
      <c r="T408" s="86">
        <v>0</v>
      </c>
      <c r="U408" s="86">
        <v>0</v>
      </c>
      <c r="V408" s="86">
        <v>0</v>
      </c>
      <c r="W408" s="86">
        <v>0</v>
      </c>
      <c r="X408" s="86">
        <v>0</v>
      </c>
      <c r="Y408" s="86">
        <v>0</v>
      </c>
      <c r="Z408" s="86">
        <v>0</v>
      </c>
      <c r="AA408" s="86">
        <v>0</v>
      </c>
      <c r="AB408" s="88">
        <v>2020</v>
      </c>
    </row>
    <row r="409" spans="1:28" s="1" customFormat="1" ht="35.25" customHeight="1">
      <c r="A409" s="1">
        <v>1</v>
      </c>
      <c r="B409" s="38">
        <f>SUBTOTAL(103,$A$11:A409)</f>
        <v>389</v>
      </c>
      <c r="C409" s="82" t="s">
        <v>833</v>
      </c>
      <c r="D409" s="83">
        <f>E409+F409+G409+H409+I409+J409+L409+M409+N409+O409+P409+Q409+R409+S409+T409+U409+V409+W409+X409+Y409+Z409+AA409</f>
        <v>466000</v>
      </c>
      <c r="E409" s="86">
        <v>0</v>
      </c>
      <c r="F409" s="86">
        <v>0</v>
      </c>
      <c r="G409" s="86">
        <v>0</v>
      </c>
      <c r="H409" s="86">
        <v>0</v>
      </c>
      <c r="I409" s="86">
        <v>0</v>
      </c>
      <c r="J409" s="86">
        <v>0</v>
      </c>
      <c r="K409" s="87">
        <v>0</v>
      </c>
      <c r="L409" s="86">
        <v>0</v>
      </c>
      <c r="M409" s="86">
        <v>0</v>
      </c>
      <c r="N409" s="86">
        <v>0</v>
      </c>
      <c r="O409" s="86">
        <v>466000</v>
      </c>
      <c r="P409" s="86">
        <v>0</v>
      </c>
      <c r="Q409" s="86">
        <v>0</v>
      </c>
      <c r="R409" s="86">
        <v>0</v>
      </c>
      <c r="S409" s="86">
        <v>0</v>
      </c>
      <c r="T409" s="86">
        <v>0</v>
      </c>
      <c r="U409" s="86">
        <v>0</v>
      </c>
      <c r="V409" s="86">
        <v>0</v>
      </c>
      <c r="W409" s="86">
        <v>0</v>
      </c>
      <c r="X409" s="86">
        <v>0</v>
      </c>
      <c r="Y409" s="86">
        <v>0</v>
      </c>
      <c r="Z409" s="86">
        <v>0</v>
      </c>
      <c r="AA409" s="86">
        <v>0</v>
      </c>
      <c r="AB409" s="88">
        <v>2020</v>
      </c>
    </row>
    <row r="410" spans="1:28" s="1" customFormat="1" ht="35.25" customHeight="1">
      <c r="A410" s="1">
        <v>1</v>
      </c>
      <c r="B410" s="38">
        <f>SUBTOTAL(103,$A$11:A410)</f>
        <v>390</v>
      </c>
      <c r="C410" s="82" t="s">
        <v>834</v>
      </c>
      <c r="D410" s="83">
        <f>E410+F410+G410+H410+I410+J410+L410+M410+N410+O410+P410+Q410+R410+S410+T410+U410+V410+W410+X410+Y410+Z410+AA410</f>
        <v>852734</v>
      </c>
      <c r="E410" s="86">
        <v>0</v>
      </c>
      <c r="F410" s="86">
        <v>0</v>
      </c>
      <c r="G410" s="86">
        <v>852734</v>
      </c>
      <c r="H410" s="86">
        <v>0</v>
      </c>
      <c r="I410" s="86">
        <v>0</v>
      </c>
      <c r="J410" s="86">
        <v>0</v>
      </c>
      <c r="K410" s="87">
        <v>0</v>
      </c>
      <c r="L410" s="86">
        <v>0</v>
      </c>
      <c r="M410" s="86">
        <v>0</v>
      </c>
      <c r="N410" s="86">
        <v>0</v>
      </c>
      <c r="O410" s="86">
        <v>0</v>
      </c>
      <c r="P410" s="86">
        <v>0</v>
      </c>
      <c r="Q410" s="86">
        <v>0</v>
      </c>
      <c r="R410" s="86">
        <v>0</v>
      </c>
      <c r="S410" s="86">
        <v>0</v>
      </c>
      <c r="T410" s="86">
        <v>0</v>
      </c>
      <c r="U410" s="86">
        <v>0</v>
      </c>
      <c r="V410" s="86">
        <v>0</v>
      </c>
      <c r="W410" s="86">
        <v>0</v>
      </c>
      <c r="X410" s="86">
        <v>0</v>
      </c>
      <c r="Y410" s="86">
        <v>0</v>
      </c>
      <c r="Z410" s="86">
        <v>0</v>
      </c>
      <c r="AA410" s="86">
        <v>0</v>
      </c>
      <c r="AB410" s="88">
        <v>2020</v>
      </c>
    </row>
    <row r="411" spans="1:28" s="1" customFormat="1" ht="35.25" customHeight="1">
      <c r="A411" s="1">
        <v>1</v>
      </c>
      <c r="B411" s="38">
        <f>SUBTOTAL(103,$A$11:A411)</f>
        <v>391</v>
      </c>
      <c r="C411" s="82" t="s">
        <v>835</v>
      </c>
      <c r="D411" s="83">
        <f>E411+F411+G411+H411+I411+J411+L411+M411+N411+O411+P411+Q411+R411+S411+T411+U411+V411+W411+X411+Y411+Z411+AA411</f>
        <v>58155</v>
      </c>
      <c r="E411" s="86">
        <v>0</v>
      </c>
      <c r="F411" s="86">
        <v>0</v>
      </c>
      <c r="G411" s="86">
        <v>58155</v>
      </c>
      <c r="H411" s="86">
        <v>0</v>
      </c>
      <c r="I411" s="86">
        <v>0</v>
      </c>
      <c r="J411" s="86">
        <v>0</v>
      </c>
      <c r="K411" s="87">
        <v>0</v>
      </c>
      <c r="L411" s="86">
        <v>0</v>
      </c>
      <c r="M411" s="86">
        <v>0</v>
      </c>
      <c r="N411" s="86">
        <v>0</v>
      </c>
      <c r="O411" s="86">
        <v>0</v>
      </c>
      <c r="P411" s="86">
        <v>0</v>
      </c>
      <c r="Q411" s="86">
        <v>0</v>
      </c>
      <c r="R411" s="86">
        <v>0</v>
      </c>
      <c r="S411" s="86">
        <v>0</v>
      </c>
      <c r="T411" s="86">
        <v>0</v>
      </c>
      <c r="U411" s="86">
        <v>0</v>
      </c>
      <c r="V411" s="86">
        <v>0</v>
      </c>
      <c r="W411" s="86">
        <v>0</v>
      </c>
      <c r="X411" s="86">
        <v>0</v>
      </c>
      <c r="Y411" s="86">
        <v>0</v>
      </c>
      <c r="Z411" s="86">
        <v>0</v>
      </c>
      <c r="AA411" s="86">
        <v>0</v>
      </c>
      <c r="AB411" s="88">
        <v>2020</v>
      </c>
    </row>
    <row r="412" spans="1:28" s="1" customFormat="1" ht="35.25" customHeight="1">
      <c r="A412" s="1">
        <v>1</v>
      </c>
      <c r="B412" s="38">
        <f>SUBTOTAL(103,$A$11:A412)</f>
        <v>392</v>
      </c>
      <c r="C412" s="82" t="s">
        <v>836</v>
      </c>
      <c r="D412" s="83">
        <v>1269855</v>
      </c>
      <c r="E412" s="86">
        <v>0</v>
      </c>
      <c r="F412" s="86">
        <v>0</v>
      </c>
      <c r="G412" s="86">
        <v>0</v>
      </c>
      <c r="H412" s="86">
        <v>0</v>
      </c>
      <c r="I412" s="86">
        <v>0</v>
      </c>
      <c r="J412" s="86">
        <v>0</v>
      </c>
      <c r="K412" s="87">
        <v>0</v>
      </c>
      <c r="L412" s="86">
        <v>0</v>
      </c>
      <c r="M412" s="86">
        <v>1120180</v>
      </c>
      <c r="N412" s="86">
        <v>0</v>
      </c>
      <c r="O412" s="86">
        <v>149675</v>
      </c>
      <c r="P412" s="86">
        <v>0</v>
      </c>
      <c r="Q412" s="86">
        <v>0</v>
      </c>
      <c r="R412" s="86">
        <v>0</v>
      </c>
      <c r="S412" s="86">
        <v>0</v>
      </c>
      <c r="T412" s="86">
        <v>0</v>
      </c>
      <c r="U412" s="86">
        <v>0</v>
      </c>
      <c r="V412" s="86">
        <v>0</v>
      </c>
      <c r="W412" s="86">
        <v>0</v>
      </c>
      <c r="X412" s="86">
        <v>0</v>
      </c>
      <c r="Y412" s="86">
        <v>0</v>
      </c>
      <c r="Z412" s="86">
        <v>0</v>
      </c>
      <c r="AA412" s="86">
        <v>0</v>
      </c>
      <c r="AB412" s="88">
        <v>2020</v>
      </c>
    </row>
    <row r="413" spans="1:28" s="1" customFormat="1" ht="35.25" customHeight="1">
      <c r="B413" s="82" t="s">
        <v>117</v>
      </c>
      <c r="C413" s="82"/>
      <c r="D413" s="83">
        <f t="shared" ref="D413:AA413" si="22">SUM(D414:D414)</f>
        <v>30800</v>
      </c>
      <c r="E413" s="83">
        <f t="shared" si="22"/>
        <v>0</v>
      </c>
      <c r="F413" s="83">
        <f t="shared" si="22"/>
        <v>0</v>
      </c>
      <c r="G413" s="83">
        <f t="shared" si="22"/>
        <v>0</v>
      </c>
      <c r="H413" s="83">
        <f t="shared" si="22"/>
        <v>0</v>
      </c>
      <c r="I413" s="83">
        <f t="shared" si="22"/>
        <v>0</v>
      </c>
      <c r="J413" s="83">
        <f t="shared" si="22"/>
        <v>0</v>
      </c>
      <c r="K413" s="84">
        <f t="shared" si="22"/>
        <v>0</v>
      </c>
      <c r="L413" s="83">
        <f t="shared" si="22"/>
        <v>0</v>
      </c>
      <c r="M413" s="83">
        <f t="shared" si="22"/>
        <v>0</v>
      </c>
      <c r="N413" s="83">
        <f t="shared" si="22"/>
        <v>0</v>
      </c>
      <c r="O413" s="83">
        <f t="shared" si="22"/>
        <v>30800</v>
      </c>
      <c r="P413" s="83">
        <f t="shared" si="22"/>
        <v>0</v>
      </c>
      <c r="Q413" s="83">
        <f t="shared" si="22"/>
        <v>0</v>
      </c>
      <c r="R413" s="83">
        <f t="shared" si="22"/>
        <v>0</v>
      </c>
      <c r="S413" s="83">
        <f t="shared" si="22"/>
        <v>0</v>
      </c>
      <c r="T413" s="83">
        <f t="shared" si="22"/>
        <v>0</v>
      </c>
      <c r="U413" s="83">
        <f t="shared" si="22"/>
        <v>0</v>
      </c>
      <c r="V413" s="83">
        <f t="shared" si="22"/>
        <v>0</v>
      </c>
      <c r="W413" s="83">
        <f t="shared" si="22"/>
        <v>0</v>
      </c>
      <c r="X413" s="83">
        <f t="shared" si="22"/>
        <v>0</v>
      </c>
      <c r="Y413" s="83">
        <f t="shared" si="22"/>
        <v>0</v>
      </c>
      <c r="Z413" s="83">
        <f t="shared" si="22"/>
        <v>0</v>
      </c>
      <c r="AA413" s="83">
        <f t="shared" si="22"/>
        <v>0</v>
      </c>
      <c r="AB413" s="85" t="s">
        <v>131</v>
      </c>
    </row>
    <row r="414" spans="1:28" s="1" customFormat="1" ht="35.25" customHeight="1">
      <c r="A414" s="1">
        <v>1</v>
      </c>
      <c r="B414" s="38">
        <f>SUBTOTAL(103,$A$11:A414)</f>
        <v>393</v>
      </c>
      <c r="C414" s="82" t="s">
        <v>548</v>
      </c>
      <c r="D414" s="83">
        <f>E414+F414+G414+H414+I414+J414+L414+M414+N414+O414+P414+Q414+R414+S414+T414+U414+V414+W414+X414+Y414+Z414+AA414</f>
        <v>30800</v>
      </c>
      <c r="E414" s="86">
        <v>0</v>
      </c>
      <c r="F414" s="86">
        <v>0</v>
      </c>
      <c r="G414" s="86">
        <v>0</v>
      </c>
      <c r="H414" s="86">
        <v>0</v>
      </c>
      <c r="I414" s="86">
        <v>0</v>
      </c>
      <c r="J414" s="86">
        <v>0</v>
      </c>
      <c r="K414" s="87">
        <v>0</v>
      </c>
      <c r="L414" s="86">
        <v>0</v>
      </c>
      <c r="M414" s="86">
        <v>0</v>
      </c>
      <c r="N414" s="86">
        <v>0</v>
      </c>
      <c r="O414" s="86">
        <v>30800</v>
      </c>
      <c r="P414" s="86">
        <v>0</v>
      </c>
      <c r="Q414" s="86">
        <v>0</v>
      </c>
      <c r="R414" s="86">
        <v>0</v>
      </c>
      <c r="S414" s="86">
        <v>0</v>
      </c>
      <c r="T414" s="86">
        <v>0</v>
      </c>
      <c r="U414" s="86">
        <v>0</v>
      </c>
      <c r="V414" s="86">
        <v>0</v>
      </c>
      <c r="W414" s="86">
        <v>0</v>
      </c>
      <c r="X414" s="86">
        <v>0</v>
      </c>
      <c r="Y414" s="86">
        <v>0</v>
      </c>
      <c r="Z414" s="86">
        <v>0</v>
      </c>
      <c r="AA414" s="86">
        <v>0</v>
      </c>
      <c r="AB414" s="88">
        <v>2020</v>
      </c>
    </row>
    <row r="415" spans="1:28" s="1" customFormat="1" ht="35.25" customHeight="1">
      <c r="B415" s="82" t="s">
        <v>116</v>
      </c>
      <c r="C415" s="82"/>
      <c r="D415" s="83">
        <f t="shared" ref="D415:AA415" si="23">SUM(D416:D416)</f>
        <v>246611</v>
      </c>
      <c r="E415" s="83">
        <f t="shared" si="23"/>
        <v>0</v>
      </c>
      <c r="F415" s="83">
        <f t="shared" si="23"/>
        <v>0</v>
      </c>
      <c r="G415" s="83">
        <f t="shared" si="23"/>
        <v>0</v>
      </c>
      <c r="H415" s="83">
        <f t="shared" si="23"/>
        <v>0</v>
      </c>
      <c r="I415" s="83">
        <f t="shared" si="23"/>
        <v>0</v>
      </c>
      <c r="J415" s="83">
        <f t="shared" si="23"/>
        <v>0</v>
      </c>
      <c r="K415" s="87">
        <f t="shared" si="23"/>
        <v>0</v>
      </c>
      <c r="L415" s="83">
        <f t="shared" si="23"/>
        <v>0</v>
      </c>
      <c r="M415" s="83">
        <f t="shared" si="23"/>
        <v>0</v>
      </c>
      <c r="N415" s="83">
        <f t="shared" si="23"/>
        <v>0</v>
      </c>
      <c r="O415" s="83">
        <f t="shared" si="23"/>
        <v>246611</v>
      </c>
      <c r="P415" s="83">
        <f t="shared" si="23"/>
        <v>0</v>
      </c>
      <c r="Q415" s="83">
        <f t="shared" si="23"/>
        <v>0</v>
      </c>
      <c r="R415" s="83">
        <f t="shared" si="23"/>
        <v>0</v>
      </c>
      <c r="S415" s="83">
        <f t="shared" si="23"/>
        <v>0</v>
      </c>
      <c r="T415" s="83">
        <f t="shared" si="23"/>
        <v>0</v>
      </c>
      <c r="U415" s="83">
        <f t="shared" si="23"/>
        <v>0</v>
      </c>
      <c r="V415" s="83">
        <f t="shared" si="23"/>
        <v>0</v>
      </c>
      <c r="W415" s="83">
        <f t="shared" si="23"/>
        <v>0</v>
      </c>
      <c r="X415" s="83">
        <f t="shared" si="23"/>
        <v>0</v>
      </c>
      <c r="Y415" s="83">
        <f t="shared" si="23"/>
        <v>0</v>
      </c>
      <c r="Z415" s="83">
        <f t="shared" si="23"/>
        <v>0</v>
      </c>
      <c r="AA415" s="83">
        <f t="shared" si="23"/>
        <v>0</v>
      </c>
      <c r="AB415" s="85" t="s">
        <v>131</v>
      </c>
    </row>
    <row r="416" spans="1:28" s="1" customFormat="1" ht="35.25" customHeight="1">
      <c r="A416" s="1">
        <v>1</v>
      </c>
      <c r="B416" s="38">
        <f>SUBTOTAL(103,$A$11:A416)</f>
        <v>394</v>
      </c>
      <c r="C416" s="82" t="s">
        <v>549</v>
      </c>
      <c r="D416" s="83">
        <f>E416+F416+G416+H416+I416+J416+L416+M416+N416+O416+P416+Q416+R416+S416+T416+U416+V416+W416+X416+Y416+Z416+AA416</f>
        <v>246611</v>
      </c>
      <c r="E416" s="86">
        <v>0</v>
      </c>
      <c r="F416" s="86">
        <v>0</v>
      </c>
      <c r="G416" s="86">
        <v>0</v>
      </c>
      <c r="H416" s="86">
        <v>0</v>
      </c>
      <c r="I416" s="86">
        <v>0</v>
      </c>
      <c r="J416" s="86">
        <v>0</v>
      </c>
      <c r="K416" s="87">
        <v>0</v>
      </c>
      <c r="L416" s="86">
        <v>0</v>
      </c>
      <c r="M416" s="86">
        <v>0</v>
      </c>
      <c r="N416" s="86">
        <v>0</v>
      </c>
      <c r="O416" s="86">
        <v>246611</v>
      </c>
      <c r="P416" s="86">
        <v>0</v>
      </c>
      <c r="Q416" s="86">
        <v>0</v>
      </c>
      <c r="R416" s="86">
        <v>0</v>
      </c>
      <c r="S416" s="86">
        <v>0</v>
      </c>
      <c r="T416" s="86">
        <v>0</v>
      </c>
      <c r="U416" s="86">
        <v>0</v>
      </c>
      <c r="V416" s="86">
        <v>0</v>
      </c>
      <c r="W416" s="86">
        <v>0</v>
      </c>
      <c r="X416" s="86">
        <v>0</v>
      </c>
      <c r="Y416" s="86">
        <v>0</v>
      </c>
      <c r="Z416" s="86">
        <v>0</v>
      </c>
      <c r="AA416" s="86">
        <v>0</v>
      </c>
      <c r="AB416" s="88">
        <v>2020</v>
      </c>
    </row>
    <row r="417" spans="1:28" s="1" customFormat="1" ht="35.25" customHeight="1">
      <c r="B417" s="82" t="s">
        <v>126</v>
      </c>
      <c r="C417" s="82"/>
      <c r="D417" s="83">
        <f>SUM(D418:D419)</f>
        <v>855755</v>
      </c>
      <c r="E417" s="83">
        <f t="shared" ref="E417:AA417" si="24">SUM(E418:E419)</f>
        <v>0</v>
      </c>
      <c r="F417" s="83">
        <f t="shared" si="24"/>
        <v>0</v>
      </c>
      <c r="G417" s="83">
        <f t="shared" si="24"/>
        <v>0</v>
      </c>
      <c r="H417" s="83">
        <f t="shared" si="24"/>
        <v>0</v>
      </c>
      <c r="I417" s="83">
        <f t="shared" si="24"/>
        <v>0</v>
      </c>
      <c r="J417" s="83">
        <f t="shared" si="24"/>
        <v>0</v>
      </c>
      <c r="K417" s="87">
        <f t="shared" si="24"/>
        <v>0</v>
      </c>
      <c r="L417" s="83">
        <f t="shared" si="24"/>
        <v>0</v>
      </c>
      <c r="M417" s="83">
        <f t="shared" si="24"/>
        <v>0</v>
      </c>
      <c r="N417" s="83">
        <f t="shared" si="24"/>
        <v>855755</v>
      </c>
      <c r="O417" s="83">
        <f t="shared" si="24"/>
        <v>0</v>
      </c>
      <c r="P417" s="83">
        <f t="shared" si="24"/>
        <v>0</v>
      </c>
      <c r="Q417" s="83">
        <f t="shared" si="24"/>
        <v>0</v>
      </c>
      <c r="R417" s="83">
        <f t="shared" si="24"/>
        <v>0</v>
      </c>
      <c r="S417" s="83">
        <f t="shared" si="24"/>
        <v>0</v>
      </c>
      <c r="T417" s="83">
        <f t="shared" si="24"/>
        <v>0</v>
      </c>
      <c r="U417" s="83">
        <f t="shared" si="24"/>
        <v>0</v>
      </c>
      <c r="V417" s="83">
        <f t="shared" si="24"/>
        <v>0</v>
      </c>
      <c r="W417" s="83">
        <f t="shared" si="24"/>
        <v>0</v>
      </c>
      <c r="X417" s="83">
        <f t="shared" si="24"/>
        <v>0</v>
      </c>
      <c r="Y417" s="83">
        <f t="shared" si="24"/>
        <v>0</v>
      </c>
      <c r="Z417" s="83">
        <f t="shared" si="24"/>
        <v>0</v>
      </c>
      <c r="AA417" s="83">
        <f t="shared" si="24"/>
        <v>0</v>
      </c>
      <c r="AB417" s="85" t="s">
        <v>131</v>
      </c>
    </row>
    <row r="418" spans="1:28" s="1" customFormat="1" ht="35.25" customHeight="1">
      <c r="A418" s="1">
        <v>1</v>
      </c>
      <c r="B418" s="38">
        <f>SUBTOTAL(103,$A$11:A418)</f>
        <v>395</v>
      </c>
      <c r="C418" s="82" t="s">
        <v>550</v>
      </c>
      <c r="D418" s="83">
        <f>E418+F418+G418+H418+I418+J418+L418+M418+N418+O418+P418+Q418+R418+S418+T418+U418+V418+W418+X418+Y418+Z418+AA418</f>
        <v>488555</v>
      </c>
      <c r="E418" s="86">
        <v>0</v>
      </c>
      <c r="F418" s="86">
        <v>0</v>
      </c>
      <c r="G418" s="86">
        <v>0</v>
      </c>
      <c r="H418" s="86">
        <v>0</v>
      </c>
      <c r="I418" s="86">
        <v>0</v>
      </c>
      <c r="J418" s="86">
        <v>0</v>
      </c>
      <c r="K418" s="87">
        <v>0</v>
      </c>
      <c r="L418" s="86">
        <v>0</v>
      </c>
      <c r="M418" s="86">
        <v>0</v>
      </c>
      <c r="N418" s="86">
        <v>488555</v>
      </c>
      <c r="O418" s="86">
        <v>0</v>
      </c>
      <c r="P418" s="86">
        <v>0</v>
      </c>
      <c r="Q418" s="86">
        <v>0</v>
      </c>
      <c r="R418" s="86">
        <v>0</v>
      </c>
      <c r="S418" s="86">
        <v>0</v>
      </c>
      <c r="T418" s="86">
        <v>0</v>
      </c>
      <c r="U418" s="86">
        <v>0</v>
      </c>
      <c r="V418" s="86">
        <v>0</v>
      </c>
      <c r="W418" s="86">
        <v>0</v>
      </c>
      <c r="X418" s="86">
        <v>0</v>
      </c>
      <c r="Y418" s="86">
        <v>0</v>
      </c>
      <c r="Z418" s="86">
        <v>0</v>
      </c>
      <c r="AA418" s="86">
        <v>0</v>
      </c>
      <c r="AB418" s="88">
        <v>2020</v>
      </c>
    </row>
    <row r="419" spans="1:28" s="1" customFormat="1" ht="35.25" customHeight="1">
      <c r="A419" s="1">
        <v>1</v>
      </c>
      <c r="B419" s="38">
        <f>SUBTOTAL(103,$A$11:A419)</f>
        <v>396</v>
      </c>
      <c r="C419" s="82" t="s">
        <v>551</v>
      </c>
      <c r="D419" s="83">
        <f>E419+F419+G419+H419+I419+J419+L419+M419+N419+O419+P419+Q419+R419+S419+T419+U419+V419+W419+X419+Y419+Z419+AA419</f>
        <v>367200</v>
      </c>
      <c r="E419" s="86">
        <v>0</v>
      </c>
      <c r="F419" s="86">
        <v>0</v>
      </c>
      <c r="G419" s="86">
        <v>0</v>
      </c>
      <c r="H419" s="86">
        <v>0</v>
      </c>
      <c r="I419" s="86">
        <v>0</v>
      </c>
      <c r="J419" s="86">
        <v>0</v>
      </c>
      <c r="K419" s="87">
        <v>0</v>
      </c>
      <c r="L419" s="86">
        <v>0</v>
      </c>
      <c r="M419" s="86">
        <v>0</v>
      </c>
      <c r="N419" s="86">
        <v>367200</v>
      </c>
      <c r="O419" s="86">
        <v>0</v>
      </c>
      <c r="P419" s="86">
        <v>0</v>
      </c>
      <c r="Q419" s="86">
        <v>0</v>
      </c>
      <c r="R419" s="86">
        <v>0</v>
      </c>
      <c r="S419" s="86">
        <v>0</v>
      </c>
      <c r="T419" s="86">
        <v>0</v>
      </c>
      <c r="U419" s="86">
        <v>0</v>
      </c>
      <c r="V419" s="86">
        <v>0</v>
      </c>
      <c r="W419" s="86">
        <v>0</v>
      </c>
      <c r="X419" s="86">
        <v>0</v>
      </c>
      <c r="Y419" s="86">
        <v>0</v>
      </c>
      <c r="Z419" s="86">
        <v>0</v>
      </c>
      <c r="AA419" s="86">
        <v>0</v>
      </c>
      <c r="AB419" s="88">
        <v>2020</v>
      </c>
    </row>
    <row r="420" spans="1:28" s="1" customFormat="1" ht="35.25" customHeight="1">
      <c r="B420" s="81" t="s">
        <v>103</v>
      </c>
      <c r="C420" s="82"/>
      <c r="D420" s="83">
        <f t="shared" ref="D420:AA420" si="25">SUM(D421:D427)</f>
        <v>2682963.6799999997</v>
      </c>
      <c r="E420" s="83">
        <f t="shared" si="25"/>
        <v>0</v>
      </c>
      <c r="F420" s="83">
        <f t="shared" si="25"/>
        <v>0</v>
      </c>
      <c r="G420" s="83">
        <f t="shared" si="25"/>
        <v>739716.67999999993</v>
      </c>
      <c r="H420" s="83">
        <f t="shared" si="25"/>
        <v>0</v>
      </c>
      <c r="I420" s="83">
        <f t="shared" si="25"/>
        <v>0</v>
      </c>
      <c r="J420" s="83">
        <f t="shared" si="25"/>
        <v>0</v>
      </c>
      <c r="K420" s="87">
        <f t="shared" si="25"/>
        <v>0</v>
      </c>
      <c r="L420" s="83">
        <f t="shared" si="25"/>
        <v>0</v>
      </c>
      <c r="M420" s="83">
        <f t="shared" si="25"/>
        <v>333320</v>
      </c>
      <c r="N420" s="83">
        <f t="shared" si="25"/>
        <v>0</v>
      </c>
      <c r="O420" s="83">
        <f t="shared" si="25"/>
        <v>1609927</v>
      </c>
      <c r="P420" s="83">
        <f t="shared" si="25"/>
        <v>0</v>
      </c>
      <c r="Q420" s="83">
        <f t="shared" si="25"/>
        <v>0</v>
      </c>
      <c r="R420" s="83">
        <f t="shared" si="25"/>
        <v>0</v>
      </c>
      <c r="S420" s="83">
        <f t="shared" si="25"/>
        <v>0</v>
      </c>
      <c r="T420" s="83">
        <f t="shared" si="25"/>
        <v>0</v>
      </c>
      <c r="U420" s="83">
        <f t="shared" si="25"/>
        <v>0</v>
      </c>
      <c r="V420" s="83">
        <f t="shared" si="25"/>
        <v>0</v>
      </c>
      <c r="W420" s="83">
        <f t="shared" si="25"/>
        <v>0</v>
      </c>
      <c r="X420" s="83">
        <f t="shared" si="25"/>
        <v>0</v>
      </c>
      <c r="Y420" s="83">
        <f t="shared" si="25"/>
        <v>0</v>
      </c>
      <c r="Z420" s="83">
        <f t="shared" si="25"/>
        <v>0</v>
      </c>
      <c r="AA420" s="83">
        <f t="shared" si="25"/>
        <v>0</v>
      </c>
      <c r="AB420" s="85" t="s">
        <v>131</v>
      </c>
    </row>
    <row r="421" spans="1:28" s="1" customFormat="1" ht="35.25" customHeight="1">
      <c r="A421" s="1">
        <v>1</v>
      </c>
      <c r="B421" s="38">
        <f>SUBTOTAL(103,$A$11:A421)</f>
        <v>397</v>
      </c>
      <c r="C421" s="82" t="s">
        <v>837</v>
      </c>
      <c r="D421" s="83">
        <f t="shared" ref="D421:D431" si="26">E421+F421+G421+H421+I421+J421+L421+M421+N421+O421+P421+Q421+R421+S421+T421+U421+V421+W421+X421+Y421+Z421+AA421</f>
        <v>338400</v>
      </c>
      <c r="E421" s="89">
        <v>0</v>
      </c>
      <c r="F421" s="89">
        <v>0</v>
      </c>
      <c r="G421" s="86">
        <v>0</v>
      </c>
      <c r="H421" s="86">
        <v>0</v>
      </c>
      <c r="I421" s="86">
        <v>0</v>
      </c>
      <c r="J421" s="86">
        <v>0</v>
      </c>
      <c r="K421" s="87">
        <v>0</v>
      </c>
      <c r="L421" s="86">
        <v>0</v>
      </c>
      <c r="M421" s="89">
        <v>0</v>
      </c>
      <c r="N421" s="86">
        <v>0</v>
      </c>
      <c r="O421" s="86">
        <v>338400</v>
      </c>
      <c r="P421" s="86">
        <v>0</v>
      </c>
      <c r="Q421" s="86">
        <v>0</v>
      </c>
      <c r="R421" s="86">
        <v>0</v>
      </c>
      <c r="S421" s="86">
        <v>0</v>
      </c>
      <c r="T421" s="86">
        <v>0</v>
      </c>
      <c r="U421" s="86">
        <v>0</v>
      </c>
      <c r="V421" s="86">
        <v>0</v>
      </c>
      <c r="W421" s="86">
        <v>0</v>
      </c>
      <c r="X421" s="86">
        <v>0</v>
      </c>
      <c r="Y421" s="86">
        <v>0</v>
      </c>
      <c r="Z421" s="86">
        <v>0</v>
      </c>
      <c r="AA421" s="86">
        <v>0</v>
      </c>
      <c r="AB421" s="88">
        <v>2020</v>
      </c>
    </row>
    <row r="422" spans="1:28" s="1" customFormat="1" ht="35.25" customHeight="1">
      <c r="A422" s="1">
        <v>1</v>
      </c>
      <c r="B422" s="38">
        <f>SUBTOTAL(103,$A$11:A422)</f>
        <v>398</v>
      </c>
      <c r="C422" s="82" t="s">
        <v>838</v>
      </c>
      <c r="D422" s="83">
        <f t="shared" si="26"/>
        <v>353445</v>
      </c>
      <c r="E422" s="89">
        <v>0</v>
      </c>
      <c r="F422" s="89">
        <v>0</v>
      </c>
      <c r="G422" s="86">
        <v>0</v>
      </c>
      <c r="H422" s="86">
        <v>0</v>
      </c>
      <c r="I422" s="86">
        <v>0</v>
      </c>
      <c r="J422" s="86">
        <v>0</v>
      </c>
      <c r="K422" s="87">
        <v>0</v>
      </c>
      <c r="L422" s="86">
        <v>0</v>
      </c>
      <c r="M422" s="89">
        <v>0</v>
      </c>
      <c r="N422" s="86">
        <v>0</v>
      </c>
      <c r="O422" s="86">
        <v>353445</v>
      </c>
      <c r="P422" s="86">
        <v>0</v>
      </c>
      <c r="Q422" s="86">
        <v>0</v>
      </c>
      <c r="R422" s="86">
        <v>0</v>
      </c>
      <c r="S422" s="86">
        <v>0</v>
      </c>
      <c r="T422" s="86">
        <v>0</v>
      </c>
      <c r="U422" s="86">
        <v>0</v>
      </c>
      <c r="V422" s="86">
        <v>0</v>
      </c>
      <c r="W422" s="86">
        <v>0</v>
      </c>
      <c r="X422" s="86">
        <v>0</v>
      </c>
      <c r="Y422" s="86">
        <v>0</v>
      </c>
      <c r="Z422" s="86">
        <v>0</v>
      </c>
      <c r="AA422" s="86">
        <v>0</v>
      </c>
      <c r="AB422" s="88">
        <v>2020</v>
      </c>
    </row>
    <row r="423" spans="1:28" s="1" customFormat="1" ht="35.25" customHeight="1">
      <c r="A423" s="1">
        <v>1</v>
      </c>
      <c r="B423" s="38">
        <f>SUBTOTAL(103,$A$11:A423)</f>
        <v>399</v>
      </c>
      <c r="C423" s="82" t="s">
        <v>839</v>
      </c>
      <c r="D423" s="83">
        <f t="shared" si="26"/>
        <v>436897.68</v>
      </c>
      <c r="E423" s="89">
        <v>0</v>
      </c>
      <c r="F423" s="89">
        <v>0</v>
      </c>
      <c r="G423" s="86">
        <v>436897.68</v>
      </c>
      <c r="H423" s="86">
        <v>0</v>
      </c>
      <c r="I423" s="86">
        <v>0</v>
      </c>
      <c r="J423" s="86">
        <v>0</v>
      </c>
      <c r="K423" s="87">
        <v>0</v>
      </c>
      <c r="L423" s="86">
        <v>0</v>
      </c>
      <c r="M423" s="89">
        <v>0</v>
      </c>
      <c r="N423" s="86">
        <v>0</v>
      </c>
      <c r="O423" s="86">
        <v>0</v>
      </c>
      <c r="P423" s="86">
        <v>0</v>
      </c>
      <c r="Q423" s="86">
        <v>0</v>
      </c>
      <c r="R423" s="86">
        <v>0</v>
      </c>
      <c r="S423" s="86">
        <v>0</v>
      </c>
      <c r="T423" s="86">
        <v>0</v>
      </c>
      <c r="U423" s="86">
        <v>0</v>
      </c>
      <c r="V423" s="86">
        <v>0</v>
      </c>
      <c r="W423" s="86">
        <v>0</v>
      </c>
      <c r="X423" s="86">
        <v>0</v>
      </c>
      <c r="Y423" s="86">
        <v>0</v>
      </c>
      <c r="Z423" s="86">
        <v>0</v>
      </c>
      <c r="AA423" s="86">
        <v>0</v>
      </c>
      <c r="AB423" s="88">
        <v>2020</v>
      </c>
    </row>
    <row r="424" spans="1:28" s="1" customFormat="1" ht="35.25" customHeight="1">
      <c r="A424" s="1">
        <v>1</v>
      </c>
      <c r="B424" s="38">
        <f>SUBTOTAL(103,$A$11:A424)</f>
        <v>400</v>
      </c>
      <c r="C424" s="82" t="s">
        <v>840</v>
      </c>
      <c r="D424" s="83">
        <f t="shared" si="26"/>
        <v>323557</v>
      </c>
      <c r="E424" s="89">
        <v>0</v>
      </c>
      <c r="F424" s="89">
        <v>0</v>
      </c>
      <c r="G424" s="86">
        <v>0</v>
      </c>
      <c r="H424" s="86">
        <v>0</v>
      </c>
      <c r="I424" s="86">
        <v>0</v>
      </c>
      <c r="J424" s="86">
        <v>0</v>
      </c>
      <c r="K424" s="87">
        <v>0</v>
      </c>
      <c r="L424" s="86">
        <v>0</v>
      </c>
      <c r="M424" s="89">
        <v>0</v>
      </c>
      <c r="N424" s="86">
        <v>0</v>
      </c>
      <c r="O424" s="86">
        <v>323557</v>
      </c>
      <c r="P424" s="86">
        <v>0</v>
      </c>
      <c r="Q424" s="86">
        <v>0</v>
      </c>
      <c r="R424" s="86">
        <v>0</v>
      </c>
      <c r="S424" s="86">
        <v>0</v>
      </c>
      <c r="T424" s="86">
        <v>0</v>
      </c>
      <c r="U424" s="86">
        <v>0</v>
      </c>
      <c r="V424" s="86">
        <v>0</v>
      </c>
      <c r="W424" s="86">
        <v>0</v>
      </c>
      <c r="X424" s="86">
        <v>0</v>
      </c>
      <c r="Y424" s="86">
        <v>0</v>
      </c>
      <c r="Z424" s="86">
        <v>0</v>
      </c>
      <c r="AA424" s="86">
        <v>0</v>
      </c>
      <c r="AB424" s="88">
        <v>2020</v>
      </c>
    </row>
    <row r="425" spans="1:28" s="1" customFormat="1" ht="35.25" customHeight="1">
      <c r="A425" s="1">
        <v>1</v>
      </c>
      <c r="B425" s="38">
        <f>SUBTOTAL(103,$A$11:A425)</f>
        <v>401</v>
      </c>
      <c r="C425" s="82" t="s">
        <v>841</v>
      </c>
      <c r="D425" s="83">
        <f t="shared" si="26"/>
        <v>574400</v>
      </c>
      <c r="E425" s="89">
        <v>0</v>
      </c>
      <c r="F425" s="89">
        <v>0</v>
      </c>
      <c r="G425" s="86">
        <v>0</v>
      </c>
      <c r="H425" s="86">
        <v>0</v>
      </c>
      <c r="I425" s="86">
        <v>0</v>
      </c>
      <c r="J425" s="86">
        <v>0</v>
      </c>
      <c r="K425" s="87">
        <v>0</v>
      </c>
      <c r="L425" s="86">
        <v>0</v>
      </c>
      <c r="M425" s="89">
        <v>333320</v>
      </c>
      <c r="N425" s="86">
        <v>0</v>
      </c>
      <c r="O425" s="86">
        <v>241080</v>
      </c>
      <c r="P425" s="86">
        <v>0</v>
      </c>
      <c r="Q425" s="86">
        <v>0</v>
      </c>
      <c r="R425" s="86">
        <v>0</v>
      </c>
      <c r="S425" s="86">
        <v>0</v>
      </c>
      <c r="T425" s="86">
        <v>0</v>
      </c>
      <c r="U425" s="86">
        <v>0</v>
      </c>
      <c r="V425" s="86">
        <v>0</v>
      </c>
      <c r="W425" s="86">
        <v>0</v>
      </c>
      <c r="X425" s="86">
        <v>0</v>
      </c>
      <c r="Y425" s="86">
        <v>0</v>
      </c>
      <c r="Z425" s="86">
        <v>0</v>
      </c>
      <c r="AA425" s="86">
        <v>0</v>
      </c>
      <c r="AB425" s="88">
        <v>2020</v>
      </c>
    </row>
    <row r="426" spans="1:28" s="1" customFormat="1" ht="35.25" customHeight="1">
      <c r="A426" s="1">
        <v>1</v>
      </c>
      <c r="B426" s="38">
        <f>SUBTOTAL(103,$A$11:A426)</f>
        <v>402</v>
      </c>
      <c r="C426" s="82" t="s">
        <v>842</v>
      </c>
      <c r="D426" s="83">
        <f t="shared" si="26"/>
        <v>353445</v>
      </c>
      <c r="E426" s="89">
        <v>0</v>
      </c>
      <c r="F426" s="89">
        <v>0</v>
      </c>
      <c r="G426" s="86">
        <v>0</v>
      </c>
      <c r="H426" s="86">
        <v>0</v>
      </c>
      <c r="I426" s="86">
        <v>0</v>
      </c>
      <c r="J426" s="86">
        <v>0</v>
      </c>
      <c r="K426" s="87">
        <v>0</v>
      </c>
      <c r="L426" s="86">
        <v>0</v>
      </c>
      <c r="M426" s="89">
        <v>0</v>
      </c>
      <c r="N426" s="86">
        <v>0</v>
      </c>
      <c r="O426" s="86">
        <v>353445</v>
      </c>
      <c r="P426" s="86">
        <v>0</v>
      </c>
      <c r="Q426" s="86">
        <v>0</v>
      </c>
      <c r="R426" s="86">
        <v>0</v>
      </c>
      <c r="S426" s="86">
        <v>0</v>
      </c>
      <c r="T426" s="86">
        <v>0</v>
      </c>
      <c r="U426" s="86">
        <v>0</v>
      </c>
      <c r="V426" s="86">
        <v>0</v>
      </c>
      <c r="W426" s="86">
        <v>0</v>
      </c>
      <c r="X426" s="86">
        <v>0</v>
      </c>
      <c r="Y426" s="86">
        <v>0</v>
      </c>
      <c r="Z426" s="86">
        <v>0</v>
      </c>
      <c r="AA426" s="86">
        <v>0</v>
      </c>
      <c r="AB426" s="88">
        <v>2020</v>
      </c>
    </row>
    <row r="427" spans="1:28" s="1" customFormat="1" ht="35.25" customHeight="1">
      <c r="A427" s="1">
        <v>1</v>
      </c>
      <c r="B427" s="38">
        <f>SUBTOTAL(103,$A$11:A427)</f>
        <v>403</v>
      </c>
      <c r="C427" s="82" t="s">
        <v>843</v>
      </c>
      <c r="D427" s="83">
        <f t="shared" si="26"/>
        <v>302819</v>
      </c>
      <c r="E427" s="89">
        <v>0</v>
      </c>
      <c r="F427" s="89">
        <v>0</v>
      </c>
      <c r="G427" s="86">
        <v>302819</v>
      </c>
      <c r="H427" s="86">
        <v>0</v>
      </c>
      <c r="I427" s="86">
        <v>0</v>
      </c>
      <c r="J427" s="86">
        <v>0</v>
      </c>
      <c r="K427" s="87">
        <v>0</v>
      </c>
      <c r="L427" s="86">
        <v>0</v>
      </c>
      <c r="M427" s="89">
        <v>0</v>
      </c>
      <c r="N427" s="86">
        <v>0</v>
      </c>
      <c r="O427" s="86">
        <v>0</v>
      </c>
      <c r="P427" s="86">
        <v>0</v>
      </c>
      <c r="Q427" s="86">
        <v>0</v>
      </c>
      <c r="R427" s="86">
        <v>0</v>
      </c>
      <c r="S427" s="86">
        <v>0</v>
      </c>
      <c r="T427" s="86">
        <v>0</v>
      </c>
      <c r="U427" s="86">
        <v>0</v>
      </c>
      <c r="V427" s="86">
        <v>0</v>
      </c>
      <c r="W427" s="86">
        <v>0</v>
      </c>
      <c r="X427" s="86">
        <v>0</v>
      </c>
      <c r="Y427" s="86">
        <v>0</v>
      </c>
      <c r="Z427" s="86">
        <v>0</v>
      </c>
      <c r="AA427" s="86">
        <v>0</v>
      </c>
      <c r="AB427" s="88">
        <v>2020</v>
      </c>
    </row>
    <row r="428" spans="1:28" s="1" customFormat="1" ht="35.25" customHeight="1">
      <c r="B428" s="81" t="s">
        <v>123</v>
      </c>
      <c r="C428" s="82"/>
      <c r="D428" s="83">
        <f t="shared" ref="D428:AA428" si="27">SUM(D429:D434)</f>
        <v>5113282</v>
      </c>
      <c r="E428" s="83">
        <f t="shared" si="27"/>
        <v>0</v>
      </c>
      <c r="F428" s="83">
        <f t="shared" si="27"/>
        <v>0</v>
      </c>
      <c r="G428" s="83">
        <f t="shared" si="27"/>
        <v>0</v>
      </c>
      <c r="H428" s="83">
        <f t="shared" si="27"/>
        <v>0</v>
      </c>
      <c r="I428" s="83">
        <f t="shared" si="27"/>
        <v>0</v>
      </c>
      <c r="J428" s="83">
        <f t="shared" si="27"/>
        <v>0</v>
      </c>
      <c r="K428" s="84">
        <f t="shared" si="27"/>
        <v>0</v>
      </c>
      <c r="L428" s="83">
        <f t="shared" si="27"/>
        <v>0</v>
      </c>
      <c r="M428" s="83">
        <f t="shared" si="27"/>
        <v>0</v>
      </c>
      <c r="N428" s="83">
        <f t="shared" si="27"/>
        <v>0</v>
      </c>
      <c r="O428" s="83">
        <f t="shared" si="27"/>
        <v>5113282</v>
      </c>
      <c r="P428" s="83">
        <f t="shared" si="27"/>
        <v>0</v>
      </c>
      <c r="Q428" s="83">
        <f t="shared" si="27"/>
        <v>0</v>
      </c>
      <c r="R428" s="83">
        <f t="shared" si="27"/>
        <v>0</v>
      </c>
      <c r="S428" s="83">
        <f t="shared" si="27"/>
        <v>0</v>
      </c>
      <c r="T428" s="83">
        <f t="shared" si="27"/>
        <v>0</v>
      </c>
      <c r="U428" s="83">
        <f t="shared" si="27"/>
        <v>0</v>
      </c>
      <c r="V428" s="83">
        <f t="shared" si="27"/>
        <v>0</v>
      </c>
      <c r="W428" s="83">
        <f t="shared" si="27"/>
        <v>0</v>
      </c>
      <c r="X428" s="83">
        <f t="shared" si="27"/>
        <v>0</v>
      </c>
      <c r="Y428" s="83">
        <f t="shared" si="27"/>
        <v>0</v>
      </c>
      <c r="Z428" s="83">
        <f t="shared" si="27"/>
        <v>0</v>
      </c>
      <c r="AA428" s="83">
        <f t="shared" si="27"/>
        <v>0</v>
      </c>
      <c r="AB428" s="85" t="s">
        <v>131</v>
      </c>
    </row>
    <row r="429" spans="1:28" s="1" customFormat="1" ht="35.25" customHeight="1">
      <c r="A429" s="1">
        <v>1</v>
      </c>
      <c r="B429" s="38">
        <f>SUBTOTAL(103,$A$11:A429)</f>
        <v>404</v>
      </c>
      <c r="C429" s="82" t="s">
        <v>844</v>
      </c>
      <c r="D429" s="83">
        <f t="shared" si="26"/>
        <v>512725</v>
      </c>
      <c r="E429" s="86">
        <v>0</v>
      </c>
      <c r="F429" s="86">
        <v>0</v>
      </c>
      <c r="G429" s="86">
        <v>0</v>
      </c>
      <c r="H429" s="86">
        <v>0</v>
      </c>
      <c r="I429" s="86">
        <v>0</v>
      </c>
      <c r="J429" s="86">
        <v>0</v>
      </c>
      <c r="K429" s="87">
        <v>0</v>
      </c>
      <c r="L429" s="86">
        <v>0</v>
      </c>
      <c r="M429" s="86">
        <v>0</v>
      </c>
      <c r="N429" s="86">
        <v>0</v>
      </c>
      <c r="O429" s="86">
        <v>512725</v>
      </c>
      <c r="P429" s="86">
        <v>0</v>
      </c>
      <c r="Q429" s="86">
        <v>0</v>
      </c>
      <c r="R429" s="86">
        <v>0</v>
      </c>
      <c r="S429" s="86">
        <v>0</v>
      </c>
      <c r="T429" s="86">
        <v>0</v>
      </c>
      <c r="U429" s="86">
        <v>0</v>
      </c>
      <c r="V429" s="86">
        <v>0</v>
      </c>
      <c r="W429" s="86">
        <v>0</v>
      </c>
      <c r="X429" s="86">
        <v>0</v>
      </c>
      <c r="Y429" s="86">
        <v>0</v>
      </c>
      <c r="Z429" s="86">
        <v>0</v>
      </c>
      <c r="AA429" s="86">
        <v>0</v>
      </c>
      <c r="AB429" s="88">
        <v>2020</v>
      </c>
    </row>
    <row r="430" spans="1:28" s="1" customFormat="1" ht="35.25" customHeight="1">
      <c r="A430" s="1">
        <v>1</v>
      </c>
      <c r="B430" s="38">
        <f>SUBTOTAL(103,$A$11:A430)</f>
        <v>405</v>
      </c>
      <c r="C430" s="82" t="s">
        <v>845</v>
      </c>
      <c r="D430" s="83">
        <f t="shared" si="26"/>
        <v>1078018</v>
      </c>
      <c r="E430" s="86">
        <v>0</v>
      </c>
      <c r="F430" s="86">
        <v>0</v>
      </c>
      <c r="G430" s="86">
        <v>0</v>
      </c>
      <c r="H430" s="86">
        <v>0</v>
      </c>
      <c r="I430" s="86">
        <v>0</v>
      </c>
      <c r="J430" s="86">
        <v>0</v>
      </c>
      <c r="K430" s="87">
        <v>0</v>
      </c>
      <c r="L430" s="86">
        <v>0</v>
      </c>
      <c r="M430" s="86">
        <v>0</v>
      </c>
      <c r="N430" s="86">
        <v>0</v>
      </c>
      <c r="O430" s="86">
        <v>1078018</v>
      </c>
      <c r="P430" s="86">
        <v>0</v>
      </c>
      <c r="Q430" s="86">
        <v>0</v>
      </c>
      <c r="R430" s="86">
        <v>0</v>
      </c>
      <c r="S430" s="86">
        <v>0</v>
      </c>
      <c r="T430" s="86">
        <v>0</v>
      </c>
      <c r="U430" s="86">
        <v>0</v>
      </c>
      <c r="V430" s="86">
        <v>0</v>
      </c>
      <c r="W430" s="86">
        <v>0</v>
      </c>
      <c r="X430" s="86">
        <v>0</v>
      </c>
      <c r="Y430" s="86">
        <v>0</v>
      </c>
      <c r="Z430" s="86">
        <v>0</v>
      </c>
      <c r="AA430" s="86">
        <v>0</v>
      </c>
      <c r="AB430" s="88">
        <v>2020</v>
      </c>
    </row>
    <row r="431" spans="1:28" s="1" customFormat="1" ht="35.25" customHeight="1">
      <c r="A431" s="1">
        <v>1</v>
      </c>
      <c r="B431" s="38">
        <f>SUBTOTAL(103,$A$11:A431)</f>
        <v>406</v>
      </c>
      <c r="C431" s="82" t="s">
        <v>846</v>
      </c>
      <c r="D431" s="83">
        <f t="shared" si="26"/>
        <v>302103</v>
      </c>
      <c r="E431" s="86">
        <v>0</v>
      </c>
      <c r="F431" s="86">
        <v>0</v>
      </c>
      <c r="G431" s="86">
        <v>0</v>
      </c>
      <c r="H431" s="86">
        <v>0</v>
      </c>
      <c r="I431" s="86">
        <v>0</v>
      </c>
      <c r="J431" s="86">
        <v>0</v>
      </c>
      <c r="K431" s="87">
        <v>0</v>
      </c>
      <c r="L431" s="86">
        <v>0</v>
      </c>
      <c r="M431" s="86">
        <v>0</v>
      </c>
      <c r="N431" s="86">
        <v>0</v>
      </c>
      <c r="O431" s="86">
        <v>302103</v>
      </c>
      <c r="P431" s="86">
        <v>0</v>
      </c>
      <c r="Q431" s="86">
        <v>0</v>
      </c>
      <c r="R431" s="86">
        <v>0</v>
      </c>
      <c r="S431" s="86">
        <v>0</v>
      </c>
      <c r="T431" s="86">
        <v>0</v>
      </c>
      <c r="U431" s="86">
        <v>0</v>
      </c>
      <c r="V431" s="86">
        <v>0</v>
      </c>
      <c r="W431" s="86">
        <v>0</v>
      </c>
      <c r="X431" s="86">
        <v>0</v>
      </c>
      <c r="Y431" s="86">
        <v>0</v>
      </c>
      <c r="Z431" s="86">
        <v>0</v>
      </c>
      <c r="AA431" s="86">
        <v>0</v>
      </c>
      <c r="AB431" s="88">
        <v>2020</v>
      </c>
    </row>
    <row r="432" spans="1:28" s="1" customFormat="1" ht="35.25" customHeight="1">
      <c r="A432" s="1">
        <v>1</v>
      </c>
      <c r="B432" s="38">
        <f>SUBTOTAL(103,$A$11:A432)</f>
        <v>407</v>
      </c>
      <c r="C432" s="82" t="s">
        <v>847</v>
      </c>
      <c r="D432" s="83">
        <f>E432+F432+G432+H432+I432+J432+L432+M432+N432+O432+P432+Q432+R432+S432+T432+U432+V432+W432+X432+Y432+Z432+AA432</f>
        <v>1078018</v>
      </c>
      <c r="E432" s="86">
        <v>0</v>
      </c>
      <c r="F432" s="86">
        <v>0</v>
      </c>
      <c r="G432" s="86">
        <v>0</v>
      </c>
      <c r="H432" s="86">
        <v>0</v>
      </c>
      <c r="I432" s="86">
        <v>0</v>
      </c>
      <c r="J432" s="86">
        <v>0</v>
      </c>
      <c r="K432" s="87">
        <v>0</v>
      </c>
      <c r="L432" s="86">
        <v>0</v>
      </c>
      <c r="M432" s="86">
        <v>0</v>
      </c>
      <c r="N432" s="86">
        <v>0</v>
      </c>
      <c r="O432" s="86">
        <v>1078018</v>
      </c>
      <c r="P432" s="86">
        <v>0</v>
      </c>
      <c r="Q432" s="86">
        <v>0</v>
      </c>
      <c r="R432" s="86">
        <v>0</v>
      </c>
      <c r="S432" s="86">
        <v>0</v>
      </c>
      <c r="T432" s="86">
        <v>0</v>
      </c>
      <c r="U432" s="86">
        <v>0</v>
      </c>
      <c r="V432" s="86">
        <v>0</v>
      </c>
      <c r="W432" s="86">
        <v>0</v>
      </c>
      <c r="X432" s="86">
        <v>0</v>
      </c>
      <c r="Y432" s="86">
        <v>0</v>
      </c>
      <c r="Z432" s="86">
        <v>0</v>
      </c>
      <c r="AA432" s="86">
        <v>0</v>
      </c>
      <c r="AB432" s="88">
        <v>2020</v>
      </c>
    </row>
    <row r="433" spans="1:28" s="1" customFormat="1" ht="35.25" customHeight="1">
      <c r="A433" s="1">
        <v>1</v>
      </c>
      <c r="B433" s="38">
        <f>SUBTOTAL(103,$A$11:A433)</f>
        <v>408</v>
      </c>
      <c r="C433" s="82" t="s">
        <v>848</v>
      </c>
      <c r="D433" s="83">
        <f>E433+F433+G433+H433+I433+J433+L433+M433+N433+O433+P433+Q433+R433+S433+T433+U433+V433+W433+X433+Y433+Z433+AA433</f>
        <v>1064400</v>
      </c>
      <c r="E433" s="86">
        <v>0</v>
      </c>
      <c r="F433" s="86">
        <v>0</v>
      </c>
      <c r="G433" s="86">
        <v>0</v>
      </c>
      <c r="H433" s="86">
        <v>0</v>
      </c>
      <c r="I433" s="86">
        <v>0</v>
      </c>
      <c r="J433" s="86">
        <v>0</v>
      </c>
      <c r="K433" s="87">
        <v>0</v>
      </c>
      <c r="L433" s="86">
        <v>0</v>
      </c>
      <c r="M433" s="86">
        <v>0</v>
      </c>
      <c r="N433" s="86">
        <v>0</v>
      </c>
      <c r="O433" s="86">
        <v>1064400</v>
      </c>
      <c r="P433" s="86">
        <v>0</v>
      </c>
      <c r="Q433" s="86">
        <v>0</v>
      </c>
      <c r="R433" s="86">
        <v>0</v>
      </c>
      <c r="S433" s="86">
        <v>0</v>
      </c>
      <c r="T433" s="86">
        <v>0</v>
      </c>
      <c r="U433" s="86">
        <v>0</v>
      </c>
      <c r="V433" s="86">
        <v>0</v>
      </c>
      <c r="W433" s="86">
        <v>0</v>
      </c>
      <c r="X433" s="86">
        <v>0</v>
      </c>
      <c r="Y433" s="86">
        <v>0</v>
      </c>
      <c r="Z433" s="86">
        <v>0</v>
      </c>
      <c r="AA433" s="86">
        <v>0</v>
      </c>
      <c r="AB433" s="88">
        <v>2020</v>
      </c>
    </row>
    <row r="434" spans="1:28" s="1" customFormat="1" ht="35.25" customHeight="1">
      <c r="A434" s="1">
        <v>1</v>
      </c>
      <c r="B434" s="38">
        <f>SUBTOTAL(103,$A$11:A434)</f>
        <v>409</v>
      </c>
      <c r="C434" s="82" t="s">
        <v>849</v>
      </c>
      <c r="D434" s="83">
        <f>E434+F434+G434+H434+I434+J434+L434+M434+N434+O434+P434+Q434+R434+S434+T434+U434+V434+W434+X434+Y434+Z434+AA434</f>
        <v>1078018</v>
      </c>
      <c r="E434" s="86">
        <v>0</v>
      </c>
      <c r="F434" s="86">
        <v>0</v>
      </c>
      <c r="G434" s="86">
        <v>0</v>
      </c>
      <c r="H434" s="86">
        <v>0</v>
      </c>
      <c r="I434" s="86">
        <v>0</v>
      </c>
      <c r="J434" s="86">
        <v>0</v>
      </c>
      <c r="K434" s="87">
        <v>0</v>
      </c>
      <c r="L434" s="86">
        <v>0</v>
      </c>
      <c r="M434" s="86">
        <v>0</v>
      </c>
      <c r="N434" s="86">
        <v>0</v>
      </c>
      <c r="O434" s="86">
        <v>1078018</v>
      </c>
      <c r="P434" s="86">
        <v>0</v>
      </c>
      <c r="Q434" s="86">
        <v>0</v>
      </c>
      <c r="R434" s="86">
        <v>0</v>
      </c>
      <c r="S434" s="86">
        <v>0</v>
      </c>
      <c r="T434" s="86">
        <v>0</v>
      </c>
      <c r="U434" s="86">
        <v>0</v>
      </c>
      <c r="V434" s="86">
        <v>0</v>
      </c>
      <c r="W434" s="86">
        <v>0</v>
      </c>
      <c r="X434" s="86">
        <v>0</v>
      </c>
      <c r="Y434" s="86">
        <v>0</v>
      </c>
      <c r="Z434" s="86">
        <v>0</v>
      </c>
      <c r="AA434" s="86">
        <v>0</v>
      </c>
      <c r="AB434" s="88">
        <v>2020</v>
      </c>
    </row>
    <row r="435" spans="1:28" s="1" customFormat="1" ht="35.25" customHeight="1">
      <c r="B435" s="81" t="s">
        <v>100</v>
      </c>
      <c r="C435" s="82"/>
      <c r="D435" s="83">
        <f t="shared" ref="D435:AA435" si="28">SUM(D436:D441)</f>
        <v>2788697.8499999996</v>
      </c>
      <c r="E435" s="83">
        <f t="shared" si="28"/>
        <v>0</v>
      </c>
      <c r="F435" s="83">
        <f t="shared" si="28"/>
        <v>257473.3</v>
      </c>
      <c r="G435" s="83">
        <f t="shared" si="28"/>
        <v>175577</v>
      </c>
      <c r="H435" s="83">
        <f t="shared" si="28"/>
        <v>0</v>
      </c>
      <c r="I435" s="83">
        <f t="shared" si="28"/>
        <v>0</v>
      </c>
      <c r="J435" s="83">
        <f t="shared" si="28"/>
        <v>0</v>
      </c>
      <c r="K435" s="87">
        <f t="shared" si="28"/>
        <v>0</v>
      </c>
      <c r="L435" s="83">
        <f t="shared" si="28"/>
        <v>0</v>
      </c>
      <c r="M435" s="83">
        <f t="shared" si="28"/>
        <v>310640.5</v>
      </c>
      <c r="N435" s="83">
        <f t="shared" si="28"/>
        <v>348127.31</v>
      </c>
      <c r="O435" s="83">
        <f t="shared" si="28"/>
        <v>504399.24</v>
      </c>
      <c r="P435" s="83">
        <f t="shared" si="28"/>
        <v>1192480.5</v>
      </c>
      <c r="Q435" s="83">
        <f t="shared" si="28"/>
        <v>0</v>
      </c>
      <c r="R435" s="83">
        <f t="shared" si="28"/>
        <v>0</v>
      </c>
      <c r="S435" s="83">
        <f t="shared" si="28"/>
        <v>0</v>
      </c>
      <c r="T435" s="83">
        <f t="shared" si="28"/>
        <v>0</v>
      </c>
      <c r="U435" s="83">
        <f t="shared" si="28"/>
        <v>0</v>
      </c>
      <c r="V435" s="83">
        <f t="shared" si="28"/>
        <v>0</v>
      </c>
      <c r="W435" s="83">
        <f t="shared" si="28"/>
        <v>0</v>
      </c>
      <c r="X435" s="83">
        <f t="shared" si="28"/>
        <v>0</v>
      </c>
      <c r="Y435" s="83">
        <f t="shared" si="28"/>
        <v>0</v>
      </c>
      <c r="Z435" s="83">
        <f t="shared" si="28"/>
        <v>0</v>
      </c>
      <c r="AA435" s="83">
        <f t="shared" si="28"/>
        <v>0</v>
      </c>
      <c r="AB435" s="85" t="s">
        <v>131</v>
      </c>
    </row>
    <row r="436" spans="1:28" s="1" customFormat="1" ht="35.25" customHeight="1">
      <c r="A436" s="1">
        <v>1</v>
      </c>
      <c r="B436" s="38">
        <f>SUBTOTAL(103,$A$11:A436)</f>
        <v>410</v>
      </c>
      <c r="C436" s="82" t="s">
        <v>850</v>
      </c>
      <c r="D436" s="83">
        <f t="shared" ref="D436:D441" si="29">E436+F436+G436+H436+I436+J436+L436+M436+N436+O436+P436+Q436+R436+S436+T436+U436+V436+W436+X436+Y436+Z436+AA436</f>
        <v>211213</v>
      </c>
      <c r="E436" s="86">
        <v>0</v>
      </c>
      <c r="F436" s="86">
        <v>211213</v>
      </c>
      <c r="G436" s="86">
        <v>0</v>
      </c>
      <c r="H436" s="86">
        <v>0</v>
      </c>
      <c r="I436" s="86">
        <v>0</v>
      </c>
      <c r="J436" s="86">
        <v>0</v>
      </c>
      <c r="K436" s="87">
        <v>0</v>
      </c>
      <c r="L436" s="86">
        <v>0</v>
      </c>
      <c r="M436" s="86">
        <v>0</v>
      </c>
      <c r="N436" s="86">
        <v>0</v>
      </c>
      <c r="O436" s="86">
        <v>0</v>
      </c>
      <c r="P436" s="86">
        <v>0</v>
      </c>
      <c r="Q436" s="86">
        <v>0</v>
      </c>
      <c r="R436" s="86">
        <v>0</v>
      </c>
      <c r="S436" s="86">
        <v>0</v>
      </c>
      <c r="T436" s="86">
        <v>0</v>
      </c>
      <c r="U436" s="86">
        <v>0</v>
      </c>
      <c r="V436" s="86">
        <v>0</v>
      </c>
      <c r="W436" s="86">
        <v>0</v>
      </c>
      <c r="X436" s="86">
        <v>0</v>
      </c>
      <c r="Y436" s="86">
        <v>0</v>
      </c>
      <c r="Z436" s="86">
        <v>0</v>
      </c>
      <c r="AA436" s="86">
        <v>0</v>
      </c>
      <c r="AB436" s="88">
        <v>2020</v>
      </c>
    </row>
    <row r="437" spans="1:28" s="1" customFormat="1" ht="35.25" customHeight="1">
      <c r="A437" s="1">
        <v>1</v>
      </c>
      <c r="B437" s="38">
        <f>SUBTOTAL(103,$A$11:A437)</f>
        <v>411</v>
      </c>
      <c r="C437" s="82" t="s">
        <v>851</v>
      </c>
      <c r="D437" s="83">
        <f t="shared" si="29"/>
        <v>1761201</v>
      </c>
      <c r="E437" s="86">
        <v>0</v>
      </c>
      <c r="F437" s="86">
        <v>0</v>
      </c>
      <c r="G437" s="86">
        <v>0</v>
      </c>
      <c r="H437" s="86">
        <v>0</v>
      </c>
      <c r="I437" s="86">
        <v>0</v>
      </c>
      <c r="J437" s="86">
        <v>0</v>
      </c>
      <c r="K437" s="87">
        <v>0</v>
      </c>
      <c r="L437" s="86">
        <v>0</v>
      </c>
      <c r="M437" s="86">
        <v>310640.5</v>
      </c>
      <c r="N437" s="86">
        <v>0</v>
      </c>
      <c r="O437" s="89">
        <v>258080</v>
      </c>
      <c r="P437" s="86">
        <v>1192480.5</v>
      </c>
      <c r="Q437" s="86">
        <v>0</v>
      </c>
      <c r="R437" s="86">
        <v>0</v>
      </c>
      <c r="S437" s="86">
        <v>0</v>
      </c>
      <c r="T437" s="86">
        <v>0</v>
      </c>
      <c r="U437" s="86">
        <v>0</v>
      </c>
      <c r="V437" s="86">
        <v>0</v>
      </c>
      <c r="W437" s="86">
        <v>0</v>
      </c>
      <c r="X437" s="86">
        <v>0</v>
      </c>
      <c r="Y437" s="86">
        <v>0</v>
      </c>
      <c r="Z437" s="86">
        <v>0</v>
      </c>
      <c r="AA437" s="86">
        <v>0</v>
      </c>
      <c r="AB437" s="88">
        <v>2020</v>
      </c>
    </row>
    <row r="438" spans="1:28" s="1" customFormat="1" ht="35.25" customHeight="1">
      <c r="A438" s="1">
        <v>1</v>
      </c>
      <c r="B438" s="38">
        <f>SUBTOTAL(103,$A$11:A438)</f>
        <v>412</v>
      </c>
      <c r="C438" s="82" t="s">
        <v>852</v>
      </c>
      <c r="D438" s="83">
        <f t="shared" si="29"/>
        <v>46260.3</v>
      </c>
      <c r="E438" s="86">
        <v>0</v>
      </c>
      <c r="F438" s="86">
        <v>46260.3</v>
      </c>
      <c r="G438" s="86">
        <v>0</v>
      </c>
      <c r="H438" s="86">
        <v>0</v>
      </c>
      <c r="I438" s="86">
        <v>0</v>
      </c>
      <c r="J438" s="86">
        <v>0</v>
      </c>
      <c r="K438" s="87">
        <v>0</v>
      </c>
      <c r="L438" s="86">
        <v>0</v>
      </c>
      <c r="M438" s="86">
        <v>0</v>
      </c>
      <c r="N438" s="86">
        <v>0</v>
      </c>
      <c r="O438" s="86">
        <v>0</v>
      </c>
      <c r="P438" s="86">
        <v>0</v>
      </c>
      <c r="Q438" s="86">
        <v>0</v>
      </c>
      <c r="R438" s="86">
        <v>0</v>
      </c>
      <c r="S438" s="86">
        <v>0</v>
      </c>
      <c r="T438" s="86">
        <v>0</v>
      </c>
      <c r="U438" s="86">
        <v>0</v>
      </c>
      <c r="V438" s="86">
        <v>0</v>
      </c>
      <c r="W438" s="86">
        <v>0</v>
      </c>
      <c r="X438" s="86">
        <v>0</v>
      </c>
      <c r="Y438" s="86">
        <v>0</v>
      </c>
      <c r="Z438" s="86">
        <v>0</v>
      </c>
      <c r="AA438" s="86">
        <v>0</v>
      </c>
      <c r="AB438" s="88">
        <v>2020</v>
      </c>
    </row>
    <row r="439" spans="1:28" s="1" customFormat="1" ht="35.25" customHeight="1">
      <c r="A439" s="1">
        <v>1</v>
      </c>
      <c r="B439" s="38">
        <f>SUBTOTAL(103,$A$11:A439)</f>
        <v>413</v>
      </c>
      <c r="C439" s="82" t="s">
        <v>853</v>
      </c>
      <c r="D439" s="83">
        <f t="shared" si="29"/>
        <v>417626</v>
      </c>
      <c r="E439" s="86">
        <v>0</v>
      </c>
      <c r="F439" s="86">
        <v>0</v>
      </c>
      <c r="G439" s="86">
        <v>175577</v>
      </c>
      <c r="H439" s="86">
        <v>0</v>
      </c>
      <c r="I439" s="86">
        <v>0</v>
      </c>
      <c r="J439" s="86">
        <v>0</v>
      </c>
      <c r="K439" s="87">
        <v>0</v>
      </c>
      <c r="L439" s="86">
        <v>0</v>
      </c>
      <c r="M439" s="86">
        <v>0</v>
      </c>
      <c r="N439" s="86">
        <v>242049</v>
      </c>
      <c r="O439" s="86">
        <v>0</v>
      </c>
      <c r="P439" s="86">
        <v>0</v>
      </c>
      <c r="Q439" s="86">
        <v>0</v>
      </c>
      <c r="R439" s="86">
        <v>0</v>
      </c>
      <c r="S439" s="86">
        <v>0</v>
      </c>
      <c r="T439" s="86">
        <v>0</v>
      </c>
      <c r="U439" s="86">
        <v>0</v>
      </c>
      <c r="V439" s="86">
        <v>0</v>
      </c>
      <c r="W439" s="86">
        <v>0</v>
      </c>
      <c r="X439" s="86">
        <v>0</v>
      </c>
      <c r="Y439" s="86">
        <v>0</v>
      </c>
      <c r="Z439" s="86">
        <v>0</v>
      </c>
      <c r="AA439" s="86">
        <v>0</v>
      </c>
      <c r="AB439" s="88">
        <v>2020</v>
      </c>
    </row>
    <row r="440" spans="1:28" s="1" customFormat="1" ht="35.25" customHeight="1">
      <c r="A440" s="1">
        <v>1</v>
      </c>
      <c r="B440" s="38">
        <f>SUBTOTAL(103,$A$11:A440)</f>
        <v>414</v>
      </c>
      <c r="C440" s="82" t="s">
        <v>854</v>
      </c>
      <c r="D440" s="83">
        <f t="shared" si="29"/>
        <v>187333.55</v>
      </c>
      <c r="E440" s="86">
        <v>0</v>
      </c>
      <c r="F440" s="86">
        <v>0</v>
      </c>
      <c r="G440" s="86">
        <v>0</v>
      </c>
      <c r="H440" s="86">
        <v>0</v>
      </c>
      <c r="I440" s="86">
        <v>0</v>
      </c>
      <c r="J440" s="86">
        <v>0</v>
      </c>
      <c r="K440" s="87">
        <v>0</v>
      </c>
      <c r="L440" s="86">
        <v>0</v>
      </c>
      <c r="M440" s="86">
        <v>0</v>
      </c>
      <c r="N440" s="86">
        <v>106078.31</v>
      </c>
      <c r="O440" s="86">
        <v>81255.240000000005</v>
      </c>
      <c r="P440" s="86">
        <v>0</v>
      </c>
      <c r="Q440" s="86">
        <v>0</v>
      </c>
      <c r="R440" s="86">
        <v>0</v>
      </c>
      <c r="S440" s="86">
        <v>0</v>
      </c>
      <c r="T440" s="86">
        <v>0</v>
      </c>
      <c r="U440" s="86">
        <v>0</v>
      </c>
      <c r="V440" s="86">
        <v>0</v>
      </c>
      <c r="W440" s="86">
        <v>0</v>
      </c>
      <c r="X440" s="86">
        <v>0</v>
      </c>
      <c r="Y440" s="86">
        <v>0</v>
      </c>
      <c r="Z440" s="86">
        <v>0</v>
      </c>
      <c r="AA440" s="86">
        <v>0</v>
      </c>
      <c r="AB440" s="88">
        <v>2020</v>
      </c>
    </row>
    <row r="441" spans="1:28" s="1" customFormat="1" ht="35.25" customHeight="1">
      <c r="A441" s="1">
        <v>1</v>
      </c>
      <c r="B441" s="38">
        <f>SUBTOTAL(103,$A$11:A441)</f>
        <v>415</v>
      </c>
      <c r="C441" s="82" t="s">
        <v>855</v>
      </c>
      <c r="D441" s="83">
        <f t="shared" si="29"/>
        <v>165064</v>
      </c>
      <c r="E441" s="86">
        <v>0</v>
      </c>
      <c r="F441" s="86">
        <v>0</v>
      </c>
      <c r="G441" s="86">
        <v>0</v>
      </c>
      <c r="H441" s="86">
        <v>0</v>
      </c>
      <c r="I441" s="86">
        <v>0</v>
      </c>
      <c r="J441" s="86">
        <v>0</v>
      </c>
      <c r="K441" s="87">
        <v>0</v>
      </c>
      <c r="L441" s="86">
        <v>0</v>
      </c>
      <c r="M441" s="86">
        <v>0</v>
      </c>
      <c r="N441" s="86">
        <v>0</v>
      </c>
      <c r="O441" s="86">
        <v>165064</v>
      </c>
      <c r="P441" s="86">
        <v>0</v>
      </c>
      <c r="Q441" s="86">
        <v>0</v>
      </c>
      <c r="R441" s="86">
        <v>0</v>
      </c>
      <c r="S441" s="86">
        <v>0</v>
      </c>
      <c r="T441" s="86">
        <v>0</v>
      </c>
      <c r="U441" s="86">
        <v>0</v>
      </c>
      <c r="V441" s="86">
        <v>0</v>
      </c>
      <c r="W441" s="86">
        <v>0</v>
      </c>
      <c r="X441" s="86">
        <v>0</v>
      </c>
      <c r="Y441" s="86">
        <v>0</v>
      </c>
      <c r="Z441" s="86">
        <v>0</v>
      </c>
      <c r="AA441" s="86">
        <v>0</v>
      </c>
      <c r="AB441" s="88">
        <v>2020</v>
      </c>
    </row>
    <row r="442" spans="1:28" s="1" customFormat="1" ht="35.25" customHeight="1">
      <c r="B442" s="81" t="s">
        <v>259</v>
      </c>
      <c r="C442" s="82"/>
      <c r="D442" s="83">
        <f>SUM(D443:D445)</f>
        <v>1200715</v>
      </c>
      <c r="E442" s="83">
        <f t="shared" ref="E442:AA442" si="30">SUM(E443:E445)</f>
        <v>0</v>
      </c>
      <c r="F442" s="83">
        <f t="shared" si="30"/>
        <v>0</v>
      </c>
      <c r="G442" s="83">
        <f t="shared" si="30"/>
        <v>0</v>
      </c>
      <c r="H442" s="83">
        <f t="shared" si="30"/>
        <v>0</v>
      </c>
      <c r="I442" s="83">
        <f t="shared" si="30"/>
        <v>0</v>
      </c>
      <c r="J442" s="83">
        <f t="shared" si="30"/>
        <v>0</v>
      </c>
      <c r="K442" s="84">
        <f t="shared" si="30"/>
        <v>0</v>
      </c>
      <c r="L442" s="83">
        <f t="shared" si="30"/>
        <v>0</v>
      </c>
      <c r="M442" s="83">
        <f t="shared" si="30"/>
        <v>0</v>
      </c>
      <c r="N442" s="83">
        <f t="shared" si="30"/>
        <v>0</v>
      </c>
      <c r="O442" s="83">
        <f t="shared" si="30"/>
        <v>1200715</v>
      </c>
      <c r="P442" s="83">
        <f t="shared" si="30"/>
        <v>0</v>
      </c>
      <c r="Q442" s="83">
        <f t="shared" si="30"/>
        <v>0</v>
      </c>
      <c r="R442" s="83">
        <f t="shared" si="30"/>
        <v>0</v>
      </c>
      <c r="S442" s="83">
        <f t="shared" si="30"/>
        <v>0</v>
      </c>
      <c r="T442" s="83">
        <f t="shared" si="30"/>
        <v>0</v>
      </c>
      <c r="U442" s="83">
        <f t="shared" si="30"/>
        <v>0</v>
      </c>
      <c r="V442" s="83">
        <f t="shared" si="30"/>
        <v>0</v>
      </c>
      <c r="W442" s="83">
        <f t="shared" si="30"/>
        <v>0</v>
      </c>
      <c r="X442" s="83">
        <f t="shared" si="30"/>
        <v>0</v>
      </c>
      <c r="Y442" s="83">
        <f t="shared" si="30"/>
        <v>0</v>
      </c>
      <c r="Z442" s="83">
        <f t="shared" si="30"/>
        <v>0</v>
      </c>
      <c r="AA442" s="83">
        <f t="shared" si="30"/>
        <v>0</v>
      </c>
      <c r="AB442" s="85" t="s">
        <v>131</v>
      </c>
    </row>
    <row r="443" spans="1:28" s="1" customFormat="1" ht="35.25" customHeight="1">
      <c r="A443" s="1">
        <v>1</v>
      </c>
      <c r="B443" s="38">
        <f>SUBTOTAL(103,$A$11:A443)</f>
        <v>416</v>
      </c>
      <c r="C443" s="82" t="s">
        <v>856</v>
      </c>
      <c r="D443" s="83">
        <f>E443+F443+G443+H443+I443+J443+L443+M443+N443+O443+P443+Q443+R443+S443+T443+U443+V443+W443+X443+Y443+Z443+AA443</f>
        <v>552011</v>
      </c>
      <c r="E443" s="86">
        <v>0</v>
      </c>
      <c r="F443" s="86">
        <v>0</v>
      </c>
      <c r="G443" s="86">
        <v>0</v>
      </c>
      <c r="H443" s="86">
        <v>0</v>
      </c>
      <c r="I443" s="86">
        <v>0</v>
      </c>
      <c r="J443" s="86">
        <v>0</v>
      </c>
      <c r="K443" s="87">
        <v>0</v>
      </c>
      <c r="L443" s="86">
        <v>0</v>
      </c>
      <c r="M443" s="86">
        <v>0</v>
      </c>
      <c r="N443" s="86">
        <v>0</v>
      </c>
      <c r="O443" s="86">
        <v>552011</v>
      </c>
      <c r="P443" s="86">
        <v>0</v>
      </c>
      <c r="Q443" s="86">
        <v>0</v>
      </c>
      <c r="R443" s="86">
        <v>0</v>
      </c>
      <c r="S443" s="86">
        <v>0</v>
      </c>
      <c r="T443" s="86">
        <v>0</v>
      </c>
      <c r="U443" s="86">
        <v>0</v>
      </c>
      <c r="V443" s="86">
        <v>0</v>
      </c>
      <c r="W443" s="86">
        <v>0</v>
      </c>
      <c r="X443" s="86">
        <v>0</v>
      </c>
      <c r="Y443" s="86">
        <v>0</v>
      </c>
      <c r="Z443" s="86">
        <v>0</v>
      </c>
      <c r="AA443" s="86">
        <v>0</v>
      </c>
      <c r="AB443" s="88">
        <v>2020</v>
      </c>
    </row>
    <row r="444" spans="1:28" s="1" customFormat="1" ht="35.25" customHeight="1">
      <c r="A444" s="1">
        <v>1</v>
      </c>
      <c r="B444" s="38">
        <f>SUBTOTAL(103,$A$11:A444)</f>
        <v>417</v>
      </c>
      <c r="C444" s="82" t="s">
        <v>857</v>
      </c>
      <c r="D444" s="83">
        <f>E444+F444+G444+H444+I444+J444+L444+M444+N444+O444+P444+Q444+R444+S444+T444+U444+V444+W444+X444+Y444+Z444+AA444</f>
        <v>520050</v>
      </c>
      <c r="E444" s="86">
        <v>0</v>
      </c>
      <c r="F444" s="86">
        <v>0</v>
      </c>
      <c r="G444" s="86">
        <v>0</v>
      </c>
      <c r="H444" s="86">
        <v>0</v>
      </c>
      <c r="I444" s="86">
        <v>0</v>
      </c>
      <c r="J444" s="86">
        <v>0</v>
      </c>
      <c r="K444" s="87">
        <v>0</v>
      </c>
      <c r="L444" s="86">
        <v>0</v>
      </c>
      <c r="M444" s="86">
        <v>0</v>
      </c>
      <c r="N444" s="86">
        <v>0</v>
      </c>
      <c r="O444" s="86">
        <v>520050</v>
      </c>
      <c r="P444" s="86">
        <v>0</v>
      </c>
      <c r="Q444" s="86">
        <v>0</v>
      </c>
      <c r="R444" s="86">
        <v>0</v>
      </c>
      <c r="S444" s="86">
        <v>0</v>
      </c>
      <c r="T444" s="86">
        <v>0</v>
      </c>
      <c r="U444" s="86">
        <v>0</v>
      </c>
      <c r="V444" s="86">
        <v>0</v>
      </c>
      <c r="W444" s="86">
        <v>0</v>
      </c>
      <c r="X444" s="86">
        <v>0</v>
      </c>
      <c r="Y444" s="86">
        <v>0</v>
      </c>
      <c r="Z444" s="86">
        <v>0</v>
      </c>
      <c r="AA444" s="86">
        <v>0</v>
      </c>
      <c r="AB444" s="88">
        <v>2020</v>
      </c>
    </row>
    <row r="445" spans="1:28" s="1" customFormat="1" ht="35.25" customHeight="1">
      <c r="A445" s="1">
        <v>1</v>
      </c>
      <c r="B445" s="38">
        <f>SUBTOTAL(103,$A$11:A445)</f>
        <v>418</v>
      </c>
      <c r="C445" s="82" t="s">
        <v>858</v>
      </c>
      <c r="D445" s="83">
        <f>E445+F445+G445+H445+I445+J445+L445+M445+N445+O445+P445+Q445+R445+S445+T445+U445+V445+W445+X445+Y445+Z445+AA445</f>
        <v>128654</v>
      </c>
      <c r="E445" s="86">
        <v>0</v>
      </c>
      <c r="F445" s="86">
        <v>0</v>
      </c>
      <c r="G445" s="86">
        <v>0</v>
      </c>
      <c r="H445" s="86">
        <v>0</v>
      </c>
      <c r="I445" s="86">
        <v>0</v>
      </c>
      <c r="J445" s="86">
        <v>0</v>
      </c>
      <c r="K445" s="87">
        <v>0</v>
      </c>
      <c r="L445" s="86">
        <v>0</v>
      </c>
      <c r="M445" s="86">
        <v>0</v>
      </c>
      <c r="N445" s="86">
        <v>0</v>
      </c>
      <c r="O445" s="86">
        <v>128654</v>
      </c>
      <c r="P445" s="86">
        <v>0</v>
      </c>
      <c r="Q445" s="86">
        <v>0</v>
      </c>
      <c r="R445" s="86">
        <v>0</v>
      </c>
      <c r="S445" s="86">
        <v>0</v>
      </c>
      <c r="T445" s="86">
        <v>0</v>
      </c>
      <c r="U445" s="86">
        <v>0</v>
      </c>
      <c r="V445" s="86">
        <v>0</v>
      </c>
      <c r="W445" s="86">
        <v>0</v>
      </c>
      <c r="X445" s="86">
        <v>0</v>
      </c>
      <c r="Y445" s="86">
        <v>0</v>
      </c>
      <c r="Z445" s="86">
        <v>0</v>
      </c>
      <c r="AA445" s="86">
        <v>0</v>
      </c>
      <c r="AB445" s="88">
        <v>2020</v>
      </c>
    </row>
    <row r="446" spans="1:28" s="1" customFormat="1" ht="35.25" customHeight="1">
      <c r="B446" s="81" t="s">
        <v>105</v>
      </c>
      <c r="C446" s="82"/>
      <c r="D446" s="83">
        <f>SUM(D447:D448)</f>
        <v>486500</v>
      </c>
      <c r="E446" s="83">
        <f t="shared" ref="E446:AA446" si="31">SUM(E447:E448)</f>
        <v>0</v>
      </c>
      <c r="F446" s="83">
        <f t="shared" si="31"/>
        <v>0</v>
      </c>
      <c r="G446" s="83">
        <f t="shared" si="31"/>
        <v>175000</v>
      </c>
      <c r="H446" s="83">
        <f t="shared" si="31"/>
        <v>0</v>
      </c>
      <c r="I446" s="83">
        <f t="shared" si="31"/>
        <v>0</v>
      </c>
      <c r="J446" s="83">
        <f t="shared" si="31"/>
        <v>0</v>
      </c>
      <c r="K446" s="84">
        <f t="shared" si="31"/>
        <v>0</v>
      </c>
      <c r="L446" s="83">
        <f t="shared" si="31"/>
        <v>0</v>
      </c>
      <c r="M446" s="83">
        <f t="shared" si="31"/>
        <v>0</v>
      </c>
      <c r="N446" s="83">
        <f t="shared" si="31"/>
        <v>311500</v>
      </c>
      <c r="O446" s="83">
        <f t="shared" si="31"/>
        <v>0</v>
      </c>
      <c r="P446" s="83">
        <f t="shared" si="31"/>
        <v>0</v>
      </c>
      <c r="Q446" s="83">
        <f t="shared" si="31"/>
        <v>0</v>
      </c>
      <c r="R446" s="83">
        <f t="shared" si="31"/>
        <v>0</v>
      </c>
      <c r="S446" s="83">
        <f t="shared" si="31"/>
        <v>0</v>
      </c>
      <c r="T446" s="83">
        <f t="shared" si="31"/>
        <v>0</v>
      </c>
      <c r="U446" s="83">
        <f t="shared" si="31"/>
        <v>0</v>
      </c>
      <c r="V446" s="83">
        <f t="shared" si="31"/>
        <v>0</v>
      </c>
      <c r="W446" s="83">
        <f t="shared" si="31"/>
        <v>0</v>
      </c>
      <c r="X446" s="83">
        <f t="shared" si="31"/>
        <v>0</v>
      </c>
      <c r="Y446" s="83">
        <f t="shared" si="31"/>
        <v>0</v>
      </c>
      <c r="Z446" s="83">
        <f t="shared" si="31"/>
        <v>0</v>
      </c>
      <c r="AA446" s="83">
        <f t="shared" si="31"/>
        <v>0</v>
      </c>
      <c r="AB446" s="85" t="s">
        <v>131</v>
      </c>
    </row>
    <row r="447" spans="1:28" s="1" customFormat="1" ht="35.25" customHeight="1">
      <c r="A447" s="1">
        <v>1</v>
      </c>
      <c r="B447" s="38">
        <f>SUBTOTAL(103,$A$11:A447)</f>
        <v>419</v>
      </c>
      <c r="C447" s="82" t="s">
        <v>859</v>
      </c>
      <c r="D447" s="83">
        <f>E447+F447+G447+H447+I447+J447+L447+M447+N447+O447+P447+Q447+R447+S447+T447+U447+V447+W447+X447+Y447+Z447+AA447</f>
        <v>175000</v>
      </c>
      <c r="E447" s="86">
        <v>0</v>
      </c>
      <c r="F447" s="86">
        <v>0</v>
      </c>
      <c r="G447" s="86">
        <v>175000</v>
      </c>
      <c r="H447" s="86">
        <v>0</v>
      </c>
      <c r="I447" s="86">
        <v>0</v>
      </c>
      <c r="J447" s="86">
        <v>0</v>
      </c>
      <c r="K447" s="87">
        <v>0</v>
      </c>
      <c r="L447" s="86">
        <v>0</v>
      </c>
      <c r="M447" s="86">
        <v>0</v>
      </c>
      <c r="N447" s="86">
        <v>0</v>
      </c>
      <c r="O447" s="86">
        <v>0</v>
      </c>
      <c r="P447" s="86">
        <v>0</v>
      </c>
      <c r="Q447" s="86">
        <v>0</v>
      </c>
      <c r="R447" s="86">
        <v>0</v>
      </c>
      <c r="S447" s="86">
        <v>0</v>
      </c>
      <c r="T447" s="86">
        <v>0</v>
      </c>
      <c r="U447" s="86">
        <v>0</v>
      </c>
      <c r="V447" s="86">
        <v>0</v>
      </c>
      <c r="W447" s="86">
        <v>0</v>
      </c>
      <c r="X447" s="86">
        <v>0</v>
      </c>
      <c r="Y447" s="86">
        <v>0</v>
      </c>
      <c r="Z447" s="86">
        <v>0</v>
      </c>
      <c r="AA447" s="86">
        <v>0</v>
      </c>
      <c r="AB447" s="88">
        <v>2020</v>
      </c>
    </row>
    <row r="448" spans="1:28" s="1" customFormat="1" ht="35.25">
      <c r="A448" s="1">
        <v>1</v>
      </c>
      <c r="B448" s="38">
        <f>SUBTOTAL(103,$A$11:A448)</f>
        <v>420</v>
      </c>
      <c r="C448" s="82" t="s">
        <v>860</v>
      </c>
      <c r="D448" s="83">
        <f>E448+F448+G448+H448+I448+J448+L448+M448+N448+O448+P448+Q448+R448+S448+T448+U448+V448+W448+X448+Y448+Z448+AA448</f>
        <v>311500</v>
      </c>
      <c r="E448" s="86">
        <v>0</v>
      </c>
      <c r="F448" s="86">
        <v>0</v>
      </c>
      <c r="G448" s="86">
        <v>0</v>
      </c>
      <c r="H448" s="86">
        <v>0</v>
      </c>
      <c r="I448" s="86">
        <v>0</v>
      </c>
      <c r="J448" s="86">
        <v>0</v>
      </c>
      <c r="K448" s="87">
        <v>0</v>
      </c>
      <c r="L448" s="86">
        <v>0</v>
      </c>
      <c r="M448" s="86">
        <v>0</v>
      </c>
      <c r="N448" s="86">
        <v>311500</v>
      </c>
      <c r="O448" s="86">
        <v>0</v>
      </c>
      <c r="P448" s="86">
        <v>0</v>
      </c>
      <c r="Q448" s="86">
        <v>0</v>
      </c>
      <c r="R448" s="86">
        <v>0</v>
      </c>
      <c r="S448" s="86">
        <v>0</v>
      </c>
      <c r="T448" s="86">
        <v>0</v>
      </c>
      <c r="U448" s="86">
        <v>0</v>
      </c>
      <c r="V448" s="86">
        <v>0</v>
      </c>
      <c r="W448" s="86">
        <v>0</v>
      </c>
      <c r="X448" s="86">
        <v>0</v>
      </c>
      <c r="Y448" s="86">
        <v>0</v>
      </c>
      <c r="Z448" s="86">
        <v>0</v>
      </c>
      <c r="AA448" s="86">
        <v>0</v>
      </c>
      <c r="AB448" s="88">
        <v>2020</v>
      </c>
    </row>
    <row r="449" spans="1:28" s="1" customFormat="1" ht="35.25" customHeight="1">
      <c r="B449" s="81" t="s">
        <v>110</v>
      </c>
      <c r="C449" s="82"/>
      <c r="D449" s="83">
        <f>SUM(D450)</f>
        <v>356128.8</v>
      </c>
      <c r="E449" s="83">
        <f t="shared" ref="E449:AA449" si="32">SUM(E450)</f>
        <v>0</v>
      </c>
      <c r="F449" s="83">
        <f t="shared" si="32"/>
        <v>0</v>
      </c>
      <c r="G449" s="83">
        <f t="shared" si="32"/>
        <v>0</v>
      </c>
      <c r="H449" s="83">
        <f t="shared" si="32"/>
        <v>0</v>
      </c>
      <c r="I449" s="83">
        <f t="shared" si="32"/>
        <v>0</v>
      </c>
      <c r="J449" s="83">
        <f t="shared" si="32"/>
        <v>0</v>
      </c>
      <c r="K449" s="84">
        <f t="shared" si="32"/>
        <v>0</v>
      </c>
      <c r="L449" s="83">
        <f t="shared" si="32"/>
        <v>0</v>
      </c>
      <c r="M449" s="83">
        <f t="shared" si="32"/>
        <v>356128.8</v>
      </c>
      <c r="N449" s="83">
        <f t="shared" si="32"/>
        <v>0</v>
      </c>
      <c r="O449" s="83">
        <f t="shared" si="32"/>
        <v>0</v>
      </c>
      <c r="P449" s="83">
        <f t="shared" si="32"/>
        <v>0</v>
      </c>
      <c r="Q449" s="83">
        <f t="shared" si="32"/>
        <v>0</v>
      </c>
      <c r="R449" s="83">
        <f t="shared" si="32"/>
        <v>0</v>
      </c>
      <c r="S449" s="83">
        <f t="shared" si="32"/>
        <v>0</v>
      </c>
      <c r="T449" s="83">
        <f t="shared" si="32"/>
        <v>0</v>
      </c>
      <c r="U449" s="83">
        <f t="shared" si="32"/>
        <v>0</v>
      </c>
      <c r="V449" s="83">
        <f t="shared" si="32"/>
        <v>0</v>
      </c>
      <c r="W449" s="83">
        <f t="shared" si="32"/>
        <v>0</v>
      </c>
      <c r="X449" s="83">
        <f t="shared" si="32"/>
        <v>0</v>
      </c>
      <c r="Y449" s="83">
        <f t="shared" si="32"/>
        <v>0</v>
      </c>
      <c r="Z449" s="83">
        <f t="shared" si="32"/>
        <v>0</v>
      </c>
      <c r="AA449" s="83">
        <f t="shared" si="32"/>
        <v>0</v>
      </c>
      <c r="AB449" s="85" t="s">
        <v>131</v>
      </c>
    </row>
    <row r="450" spans="1:28" s="1" customFormat="1" ht="35.25" customHeight="1">
      <c r="A450" s="1">
        <v>1</v>
      </c>
      <c r="B450" s="38">
        <f>SUBTOTAL(103,$A$11:A450)</f>
        <v>421</v>
      </c>
      <c r="C450" s="82" t="s">
        <v>861</v>
      </c>
      <c r="D450" s="83">
        <f>E450+F450+G450+H450+I450+J450+L450+M450+N450+O450+P450+Q450+R450+S450+T450+U450+V450+W450+X450+Y450+Z450+AA450</f>
        <v>356128.8</v>
      </c>
      <c r="E450" s="86">
        <v>0</v>
      </c>
      <c r="F450" s="86">
        <v>0</v>
      </c>
      <c r="G450" s="86">
        <v>0</v>
      </c>
      <c r="H450" s="86">
        <v>0</v>
      </c>
      <c r="I450" s="86">
        <v>0</v>
      </c>
      <c r="J450" s="86">
        <v>0</v>
      </c>
      <c r="K450" s="87">
        <v>0</v>
      </c>
      <c r="L450" s="86">
        <v>0</v>
      </c>
      <c r="M450" s="86">
        <v>356128.8</v>
      </c>
      <c r="N450" s="86">
        <v>0</v>
      </c>
      <c r="O450" s="86">
        <v>0</v>
      </c>
      <c r="P450" s="86">
        <v>0</v>
      </c>
      <c r="Q450" s="86">
        <v>0</v>
      </c>
      <c r="R450" s="86">
        <v>0</v>
      </c>
      <c r="S450" s="86">
        <v>0</v>
      </c>
      <c r="T450" s="86">
        <v>0</v>
      </c>
      <c r="U450" s="86">
        <v>0</v>
      </c>
      <c r="V450" s="86">
        <v>0</v>
      </c>
      <c r="W450" s="86">
        <v>0</v>
      </c>
      <c r="X450" s="86">
        <v>0</v>
      </c>
      <c r="Y450" s="86">
        <v>0</v>
      </c>
      <c r="Z450" s="86">
        <v>0</v>
      </c>
      <c r="AA450" s="86">
        <v>0</v>
      </c>
      <c r="AB450" s="88">
        <v>2020</v>
      </c>
    </row>
    <row r="451" spans="1:28" s="1" customFormat="1" ht="35.25" customHeight="1">
      <c r="B451" s="82" t="s">
        <v>862</v>
      </c>
      <c r="C451" s="82"/>
      <c r="D451" s="83">
        <f>D452</f>
        <v>60000</v>
      </c>
      <c r="E451" s="83">
        <f t="shared" ref="E451:AA451" si="33">E452</f>
        <v>0</v>
      </c>
      <c r="F451" s="83">
        <f t="shared" si="33"/>
        <v>0</v>
      </c>
      <c r="G451" s="83">
        <f t="shared" si="33"/>
        <v>0</v>
      </c>
      <c r="H451" s="83">
        <f t="shared" si="33"/>
        <v>0</v>
      </c>
      <c r="I451" s="83">
        <f t="shared" si="33"/>
        <v>0</v>
      </c>
      <c r="J451" s="83">
        <f t="shared" si="33"/>
        <v>0</v>
      </c>
      <c r="K451" s="84">
        <f t="shared" si="33"/>
        <v>0</v>
      </c>
      <c r="L451" s="83">
        <f t="shared" si="33"/>
        <v>0</v>
      </c>
      <c r="M451" s="83">
        <f t="shared" si="33"/>
        <v>60000</v>
      </c>
      <c r="N451" s="83">
        <f t="shared" si="33"/>
        <v>0</v>
      </c>
      <c r="O451" s="83">
        <f t="shared" si="33"/>
        <v>0</v>
      </c>
      <c r="P451" s="83">
        <f t="shared" si="33"/>
        <v>0</v>
      </c>
      <c r="Q451" s="83">
        <f t="shared" si="33"/>
        <v>0</v>
      </c>
      <c r="R451" s="83">
        <f t="shared" si="33"/>
        <v>0</v>
      </c>
      <c r="S451" s="83">
        <f t="shared" si="33"/>
        <v>0</v>
      </c>
      <c r="T451" s="83">
        <f t="shared" si="33"/>
        <v>0</v>
      </c>
      <c r="U451" s="83">
        <f t="shared" si="33"/>
        <v>0</v>
      </c>
      <c r="V451" s="83">
        <f t="shared" si="33"/>
        <v>0</v>
      </c>
      <c r="W451" s="83">
        <f t="shared" si="33"/>
        <v>0</v>
      </c>
      <c r="X451" s="83">
        <f t="shared" si="33"/>
        <v>0</v>
      </c>
      <c r="Y451" s="83">
        <f t="shared" si="33"/>
        <v>0</v>
      </c>
      <c r="Z451" s="83">
        <f t="shared" si="33"/>
        <v>0</v>
      </c>
      <c r="AA451" s="83">
        <f t="shared" si="33"/>
        <v>0</v>
      </c>
      <c r="AB451" s="85" t="s">
        <v>131</v>
      </c>
    </row>
    <row r="452" spans="1:28" s="1" customFormat="1" ht="35.25" customHeight="1">
      <c r="A452" s="1">
        <v>1</v>
      </c>
      <c r="B452" s="38">
        <f>SUBTOTAL(103,$A$11:A452)</f>
        <v>422</v>
      </c>
      <c r="C452" s="82" t="s">
        <v>863</v>
      </c>
      <c r="D452" s="83">
        <f>E452+F452+G452+H452+I452+J452+L452+M452+N452+O452+P452+Q452+R452+S452+T452+U452+V452+W452+X452+Y452+Z452+AA452</f>
        <v>60000</v>
      </c>
      <c r="E452" s="86">
        <v>0</v>
      </c>
      <c r="F452" s="86">
        <v>0</v>
      </c>
      <c r="G452" s="86">
        <v>0</v>
      </c>
      <c r="H452" s="86">
        <v>0</v>
      </c>
      <c r="I452" s="86">
        <v>0</v>
      </c>
      <c r="J452" s="86">
        <v>0</v>
      </c>
      <c r="K452" s="87">
        <v>0</v>
      </c>
      <c r="L452" s="86">
        <v>0</v>
      </c>
      <c r="M452" s="86">
        <v>60000</v>
      </c>
      <c r="N452" s="86">
        <v>0</v>
      </c>
      <c r="O452" s="86">
        <v>0</v>
      </c>
      <c r="P452" s="86">
        <v>0</v>
      </c>
      <c r="Q452" s="86">
        <v>0</v>
      </c>
      <c r="R452" s="86">
        <v>0</v>
      </c>
      <c r="S452" s="86">
        <v>0</v>
      </c>
      <c r="T452" s="86">
        <v>0</v>
      </c>
      <c r="U452" s="86">
        <v>0</v>
      </c>
      <c r="V452" s="86">
        <v>0</v>
      </c>
      <c r="W452" s="86">
        <v>0</v>
      </c>
      <c r="X452" s="86">
        <v>0</v>
      </c>
      <c r="Y452" s="86">
        <v>0</v>
      </c>
      <c r="Z452" s="86">
        <v>0</v>
      </c>
      <c r="AA452" s="86">
        <v>0</v>
      </c>
      <c r="AB452" s="88">
        <v>2020</v>
      </c>
    </row>
    <row r="453" spans="1:28" s="1" customFormat="1" ht="35.25" customHeight="1">
      <c r="B453" s="81" t="s">
        <v>112</v>
      </c>
      <c r="C453" s="82"/>
      <c r="D453" s="83">
        <f>SUM(D454:D456)</f>
        <v>2368604.86</v>
      </c>
      <c r="E453" s="83">
        <f t="shared" ref="E453:AA453" si="34">SUM(E454:E456)</f>
        <v>0</v>
      </c>
      <c r="F453" s="83">
        <f t="shared" si="34"/>
        <v>439256.62</v>
      </c>
      <c r="G453" s="83">
        <f t="shared" si="34"/>
        <v>0</v>
      </c>
      <c r="H453" s="83">
        <f t="shared" si="34"/>
        <v>0</v>
      </c>
      <c r="I453" s="83">
        <f t="shared" si="34"/>
        <v>0</v>
      </c>
      <c r="J453" s="83">
        <f t="shared" si="34"/>
        <v>0</v>
      </c>
      <c r="K453" s="84">
        <f t="shared" si="34"/>
        <v>0</v>
      </c>
      <c r="L453" s="83">
        <f t="shared" si="34"/>
        <v>0</v>
      </c>
      <c r="M453" s="83">
        <f t="shared" si="34"/>
        <v>1375551.24</v>
      </c>
      <c r="N453" s="83">
        <f t="shared" si="34"/>
        <v>0</v>
      </c>
      <c r="O453" s="83">
        <f t="shared" si="34"/>
        <v>553797</v>
      </c>
      <c r="P453" s="83">
        <f t="shared" si="34"/>
        <v>0</v>
      </c>
      <c r="Q453" s="83">
        <f t="shared" si="34"/>
        <v>0</v>
      </c>
      <c r="R453" s="83">
        <f t="shared" si="34"/>
        <v>0</v>
      </c>
      <c r="S453" s="83">
        <f t="shared" si="34"/>
        <v>0</v>
      </c>
      <c r="T453" s="83">
        <f t="shared" si="34"/>
        <v>0</v>
      </c>
      <c r="U453" s="83">
        <f t="shared" si="34"/>
        <v>0</v>
      </c>
      <c r="V453" s="83">
        <f t="shared" si="34"/>
        <v>0</v>
      </c>
      <c r="W453" s="83">
        <f t="shared" si="34"/>
        <v>0</v>
      </c>
      <c r="X453" s="83">
        <f t="shared" si="34"/>
        <v>0</v>
      </c>
      <c r="Y453" s="83">
        <f t="shared" si="34"/>
        <v>0</v>
      </c>
      <c r="Z453" s="83">
        <f t="shared" si="34"/>
        <v>0</v>
      </c>
      <c r="AA453" s="83">
        <f t="shared" si="34"/>
        <v>0</v>
      </c>
      <c r="AB453" s="85" t="s">
        <v>131</v>
      </c>
    </row>
    <row r="454" spans="1:28" s="1" customFormat="1" ht="35.25" customHeight="1">
      <c r="A454" s="1">
        <v>1</v>
      </c>
      <c r="B454" s="38">
        <f>SUBTOTAL(103,$A$11:A454)</f>
        <v>423</v>
      </c>
      <c r="C454" s="82" t="s">
        <v>864</v>
      </c>
      <c r="D454" s="83">
        <f>E454+F454+G454+H454+I454+J454+L454+M454+N454+O454+P454+Q454+R454+S454+T454+U454+V454+W454+X454+Y454+Z454+AA454</f>
        <v>1375551.24</v>
      </c>
      <c r="E454" s="86">
        <v>0</v>
      </c>
      <c r="F454" s="86">
        <v>0</v>
      </c>
      <c r="G454" s="86">
        <v>0</v>
      </c>
      <c r="H454" s="86">
        <v>0</v>
      </c>
      <c r="I454" s="86">
        <v>0</v>
      </c>
      <c r="J454" s="86">
        <v>0</v>
      </c>
      <c r="K454" s="87">
        <v>0</v>
      </c>
      <c r="L454" s="86">
        <v>0</v>
      </c>
      <c r="M454" s="86">
        <v>1375551.24</v>
      </c>
      <c r="N454" s="86">
        <v>0</v>
      </c>
      <c r="O454" s="86">
        <v>0</v>
      </c>
      <c r="P454" s="86">
        <v>0</v>
      </c>
      <c r="Q454" s="86">
        <v>0</v>
      </c>
      <c r="R454" s="86">
        <v>0</v>
      </c>
      <c r="S454" s="86">
        <v>0</v>
      </c>
      <c r="T454" s="86">
        <v>0</v>
      </c>
      <c r="U454" s="86">
        <v>0</v>
      </c>
      <c r="V454" s="86">
        <v>0</v>
      </c>
      <c r="W454" s="86">
        <v>0</v>
      </c>
      <c r="X454" s="86">
        <v>0</v>
      </c>
      <c r="Y454" s="86">
        <v>0</v>
      </c>
      <c r="Z454" s="86">
        <v>0</v>
      </c>
      <c r="AA454" s="86">
        <v>0</v>
      </c>
      <c r="AB454" s="88">
        <v>2020</v>
      </c>
    </row>
    <row r="455" spans="1:28" s="1" customFormat="1" ht="35.25" customHeight="1">
      <c r="A455" s="1">
        <v>1</v>
      </c>
      <c r="B455" s="38">
        <f>SUBTOTAL(103,$A$11:A455)</f>
        <v>424</v>
      </c>
      <c r="C455" s="82" t="s">
        <v>865</v>
      </c>
      <c r="D455" s="83">
        <f>E455+F455+G455+H455+I455+J455+L455+M455+N455+O455+P455+Q455+R455+S455+T455+U455+V455+W455+X455+Y455+Z455+AA455</f>
        <v>439256.62</v>
      </c>
      <c r="E455" s="86">
        <v>0</v>
      </c>
      <c r="F455" s="86">
        <v>439256.62</v>
      </c>
      <c r="G455" s="86">
        <v>0</v>
      </c>
      <c r="H455" s="86">
        <v>0</v>
      </c>
      <c r="I455" s="86">
        <v>0</v>
      </c>
      <c r="J455" s="86">
        <v>0</v>
      </c>
      <c r="K455" s="87">
        <v>0</v>
      </c>
      <c r="L455" s="86">
        <v>0</v>
      </c>
      <c r="M455" s="86">
        <v>0</v>
      </c>
      <c r="N455" s="86">
        <v>0</v>
      </c>
      <c r="O455" s="86">
        <v>0</v>
      </c>
      <c r="P455" s="86">
        <v>0</v>
      </c>
      <c r="Q455" s="86">
        <v>0</v>
      </c>
      <c r="R455" s="86">
        <v>0</v>
      </c>
      <c r="S455" s="86">
        <v>0</v>
      </c>
      <c r="T455" s="86">
        <v>0</v>
      </c>
      <c r="U455" s="86">
        <v>0</v>
      </c>
      <c r="V455" s="86">
        <v>0</v>
      </c>
      <c r="W455" s="86">
        <v>0</v>
      </c>
      <c r="X455" s="86">
        <v>0</v>
      </c>
      <c r="Y455" s="86">
        <v>0</v>
      </c>
      <c r="Z455" s="86">
        <v>0</v>
      </c>
      <c r="AA455" s="86">
        <v>0</v>
      </c>
      <c r="AB455" s="88">
        <v>2020</v>
      </c>
    </row>
    <row r="456" spans="1:28" s="1" customFormat="1" ht="35.25" customHeight="1">
      <c r="A456" s="1">
        <v>1</v>
      </c>
      <c r="B456" s="38">
        <f>SUBTOTAL(103,$A$11:A456)</f>
        <v>425</v>
      </c>
      <c r="C456" s="82" t="s">
        <v>866</v>
      </c>
      <c r="D456" s="83">
        <f>E456+F456+G456+H456+I456+J456+L456+M456+N456+O456+P456+Q456+R456+S456+T456+U456+V456+W456+X456+Y456+Z456+AA456</f>
        <v>553797</v>
      </c>
      <c r="E456" s="86">
        <v>0</v>
      </c>
      <c r="F456" s="86">
        <v>0</v>
      </c>
      <c r="G456" s="86">
        <v>0</v>
      </c>
      <c r="H456" s="86">
        <v>0</v>
      </c>
      <c r="I456" s="86">
        <v>0</v>
      </c>
      <c r="J456" s="86">
        <v>0</v>
      </c>
      <c r="K456" s="87">
        <v>0</v>
      </c>
      <c r="L456" s="86">
        <v>0</v>
      </c>
      <c r="M456" s="86">
        <v>0</v>
      </c>
      <c r="N456" s="86">
        <v>0</v>
      </c>
      <c r="O456" s="86">
        <v>553797</v>
      </c>
      <c r="P456" s="86">
        <v>0</v>
      </c>
      <c r="Q456" s="86">
        <v>0</v>
      </c>
      <c r="R456" s="86">
        <v>0</v>
      </c>
      <c r="S456" s="86">
        <v>0</v>
      </c>
      <c r="T456" s="86">
        <v>0</v>
      </c>
      <c r="U456" s="86">
        <v>0</v>
      </c>
      <c r="V456" s="86">
        <v>0</v>
      </c>
      <c r="W456" s="86">
        <v>0</v>
      </c>
      <c r="X456" s="86">
        <v>0</v>
      </c>
      <c r="Y456" s="86">
        <v>0</v>
      </c>
      <c r="Z456" s="86">
        <v>0</v>
      </c>
      <c r="AA456" s="86">
        <v>0</v>
      </c>
      <c r="AB456" s="88">
        <v>2020</v>
      </c>
    </row>
    <row r="457" spans="1:28" s="1" customFormat="1" ht="35.25" customHeight="1">
      <c r="B457" s="81" t="s">
        <v>117</v>
      </c>
      <c r="C457" s="82"/>
      <c r="D457" s="83">
        <f>SUM(D458:D465)</f>
        <v>6936248.79</v>
      </c>
      <c r="E457" s="83">
        <f t="shared" ref="E457:AA457" si="35">SUM(E458:E465)</f>
        <v>117654</v>
      </c>
      <c r="F457" s="83">
        <f t="shared" si="35"/>
        <v>0</v>
      </c>
      <c r="G457" s="83">
        <f t="shared" si="35"/>
        <v>979023</v>
      </c>
      <c r="H457" s="83">
        <f t="shared" si="35"/>
        <v>0</v>
      </c>
      <c r="I457" s="83">
        <f t="shared" si="35"/>
        <v>368317</v>
      </c>
      <c r="J457" s="83">
        <f t="shared" si="35"/>
        <v>0</v>
      </c>
      <c r="K457" s="84">
        <f t="shared" si="35"/>
        <v>0</v>
      </c>
      <c r="L457" s="83">
        <f t="shared" si="35"/>
        <v>0</v>
      </c>
      <c r="M457" s="83">
        <f t="shared" si="35"/>
        <v>1531213</v>
      </c>
      <c r="N457" s="83">
        <f t="shared" si="35"/>
        <v>0</v>
      </c>
      <c r="O457" s="83">
        <f t="shared" si="35"/>
        <v>3940041.79</v>
      </c>
      <c r="P457" s="83">
        <f t="shared" si="35"/>
        <v>0</v>
      </c>
      <c r="Q457" s="83">
        <f t="shared" si="35"/>
        <v>0</v>
      </c>
      <c r="R457" s="83">
        <f t="shared" si="35"/>
        <v>0</v>
      </c>
      <c r="S457" s="83">
        <f t="shared" si="35"/>
        <v>0</v>
      </c>
      <c r="T457" s="83">
        <f t="shared" si="35"/>
        <v>0</v>
      </c>
      <c r="U457" s="83">
        <f t="shared" si="35"/>
        <v>0</v>
      </c>
      <c r="V457" s="83">
        <f t="shared" si="35"/>
        <v>0</v>
      </c>
      <c r="W457" s="83">
        <f t="shared" si="35"/>
        <v>0</v>
      </c>
      <c r="X457" s="83">
        <f t="shared" si="35"/>
        <v>0</v>
      </c>
      <c r="Y457" s="83">
        <f t="shared" si="35"/>
        <v>0</v>
      </c>
      <c r="Z457" s="83">
        <f t="shared" si="35"/>
        <v>0</v>
      </c>
      <c r="AA457" s="83">
        <f t="shared" si="35"/>
        <v>0</v>
      </c>
      <c r="AB457" s="85" t="s">
        <v>131</v>
      </c>
    </row>
    <row r="458" spans="1:28" s="1" customFormat="1" ht="35.25" customHeight="1">
      <c r="A458" s="1">
        <v>1</v>
      </c>
      <c r="B458" s="38">
        <f>SUBTOTAL(103,$A$11:A458)</f>
        <v>426</v>
      </c>
      <c r="C458" s="82" t="s">
        <v>867</v>
      </c>
      <c r="D458" s="83">
        <f t="shared" ref="D458:D464" si="36">E458+F458+G458+H458+I458+J458+L458+M458+N458+O458+P458+Q458+R458+S458+T458+U458+V458+W458+X458+Y458+Z458+AA458</f>
        <v>824183</v>
      </c>
      <c r="E458" s="86">
        <v>0</v>
      </c>
      <c r="F458" s="86">
        <v>0</v>
      </c>
      <c r="G458" s="86">
        <v>0</v>
      </c>
      <c r="H458" s="86">
        <v>0</v>
      </c>
      <c r="I458" s="86">
        <v>0</v>
      </c>
      <c r="J458" s="86">
        <v>0</v>
      </c>
      <c r="K458" s="87">
        <v>0</v>
      </c>
      <c r="L458" s="86">
        <v>0</v>
      </c>
      <c r="M458" s="86">
        <v>0</v>
      </c>
      <c r="N458" s="86">
        <v>0</v>
      </c>
      <c r="O458" s="86">
        <v>824183</v>
      </c>
      <c r="P458" s="86">
        <v>0</v>
      </c>
      <c r="Q458" s="86">
        <v>0</v>
      </c>
      <c r="R458" s="86">
        <v>0</v>
      </c>
      <c r="S458" s="86">
        <v>0</v>
      </c>
      <c r="T458" s="86">
        <v>0</v>
      </c>
      <c r="U458" s="86">
        <v>0</v>
      </c>
      <c r="V458" s="86">
        <v>0</v>
      </c>
      <c r="W458" s="86">
        <v>0</v>
      </c>
      <c r="X458" s="86">
        <v>0</v>
      </c>
      <c r="Y458" s="86">
        <v>0</v>
      </c>
      <c r="Z458" s="86">
        <v>0</v>
      </c>
      <c r="AA458" s="86">
        <v>0</v>
      </c>
      <c r="AB458" s="88">
        <v>2020</v>
      </c>
    </row>
    <row r="459" spans="1:28" s="1" customFormat="1" ht="35.25" customHeight="1">
      <c r="A459" s="1">
        <v>1</v>
      </c>
      <c r="B459" s="38">
        <f>SUBTOTAL(103,$A$11:A459)</f>
        <v>427</v>
      </c>
      <c r="C459" s="82" t="s">
        <v>868</v>
      </c>
      <c r="D459" s="83">
        <f t="shared" si="36"/>
        <v>851863.79</v>
      </c>
      <c r="E459" s="86">
        <v>0</v>
      </c>
      <c r="F459" s="86">
        <v>0</v>
      </c>
      <c r="G459" s="86">
        <v>0</v>
      </c>
      <c r="H459" s="86">
        <v>0</v>
      </c>
      <c r="I459" s="86">
        <v>0</v>
      </c>
      <c r="J459" s="86">
        <v>0</v>
      </c>
      <c r="K459" s="87">
        <v>0</v>
      </c>
      <c r="L459" s="86">
        <v>0</v>
      </c>
      <c r="M459" s="86">
        <v>0</v>
      </c>
      <c r="N459" s="86">
        <v>0</v>
      </c>
      <c r="O459" s="86">
        <v>851863.79</v>
      </c>
      <c r="P459" s="86">
        <v>0</v>
      </c>
      <c r="Q459" s="86">
        <v>0</v>
      </c>
      <c r="R459" s="86">
        <v>0</v>
      </c>
      <c r="S459" s="86">
        <v>0</v>
      </c>
      <c r="T459" s="86">
        <v>0</v>
      </c>
      <c r="U459" s="86">
        <v>0</v>
      </c>
      <c r="V459" s="86">
        <v>0</v>
      </c>
      <c r="W459" s="86">
        <v>0</v>
      </c>
      <c r="X459" s="86">
        <v>0</v>
      </c>
      <c r="Y459" s="86">
        <v>0</v>
      </c>
      <c r="Z459" s="86">
        <v>0</v>
      </c>
      <c r="AA459" s="86">
        <v>0</v>
      </c>
      <c r="AB459" s="88">
        <v>2020</v>
      </c>
    </row>
    <row r="460" spans="1:28" s="1" customFormat="1" ht="35.25" customHeight="1">
      <c r="A460" s="1">
        <v>1</v>
      </c>
      <c r="B460" s="38">
        <f>SUBTOTAL(103,$A$11:A460)</f>
        <v>428</v>
      </c>
      <c r="C460" s="82" t="s">
        <v>869</v>
      </c>
      <c r="D460" s="83">
        <f t="shared" si="36"/>
        <v>979023</v>
      </c>
      <c r="E460" s="86">
        <v>0</v>
      </c>
      <c r="F460" s="86">
        <v>0</v>
      </c>
      <c r="G460" s="86">
        <v>979023</v>
      </c>
      <c r="H460" s="86">
        <v>0</v>
      </c>
      <c r="I460" s="86">
        <v>0</v>
      </c>
      <c r="J460" s="86">
        <v>0</v>
      </c>
      <c r="K460" s="87">
        <v>0</v>
      </c>
      <c r="L460" s="86">
        <v>0</v>
      </c>
      <c r="M460" s="86">
        <v>0</v>
      </c>
      <c r="N460" s="86">
        <v>0</v>
      </c>
      <c r="O460" s="86">
        <v>0</v>
      </c>
      <c r="P460" s="86">
        <v>0</v>
      </c>
      <c r="Q460" s="86">
        <v>0</v>
      </c>
      <c r="R460" s="86">
        <v>0</v>
      </c>
      <c r="S460" s="86">
        <v>0</v>
      </c>
      <c r="T460" s="86">
        <v>0</v>
      </c>
      <c r="U460" s="86">
        <v>0</v>
      </c>
      <c r="V460" s="86">
        <v>0</v>
      </c>
      <c r="W460" s="86">
        <v>0</v>
      </c>
      <c r="X460" s="86">
        <v>0</v>
      </c>
      <c r="Y460" s="86">
        <v>0</v>
      </c>
      <c r="Z460" s="86">
        <v>0</v>
      </c>
      <c r="AA460" s="86">
        <v>0</v>
      </c>
      <c r="AB460" s="88">
        <v>2020</v>
      </c>
    </row>
    <row r="461" spans="1:28" s="1" customFormat="1" ht="35.25" customHeight="1">
      <c r="A461" s="1">
        <v>1</v>
      </c>
      <c r="B461" s="38">
        <f>SUBTOTAL(103,$A$11:A461)</f>
        <v>429</v>
      </c>
      <c r="C461" s="82" t="s">
        <v>870</v>
      </c>
      <c r="D461" s="83">
        <f t="shared" si="36"/>
        <v>798318</v>
      </c>
      <c r="E461" s="86">
        <v>0</v>
      </c>
      <c r="F461" s="86">
        <v>0</v>
      </c>
      <c r="G461" s="86">
        <v>0</v>
      </c>
      <c r="H461" s="86">
        <v>0</v>
      </c>
      <c r="I461" s="86">
        <v>0</v>
      </c>
      <c r="J461" s="86">
        <v>0</v>
      </c>
      <c r="K461" s="87">
        <v>0</v>
      </c>
      <c r="L461" s="86">
        <v>0</v>
      </c>
      <c r="M461" s="86">
        <v>0</v>
      </c>
      <c r="N461" s="86">
        <v>0</v>
      </c>
      <c r="O461" s="86">
        <v>798318</v>
      </c>
      <c r="P461" s="86">
        <v>0</v>
      </c>
      <c r="Q461" s="86">
        <v>0</v>
      </c>
      <c r="R461" s="86">
        <v>0</v>
      </c>
      <c r="S461" s="86">
        <v>0</v>
      </c>
      <c r="T461" s="86">
        <v>0</v>
      </c>
      <c r="U461" s="86">
        <v>0</v>
      </c>
      <c r="V461" s="86">
        <v>0</v>
      </c>
      <c r="W461" s="86">
        <v>0</v>
      </c>
      <c r="X461" s="86">
        <v>0</v>
      </c>
      <c r="Y461" s="86">
        <v>0</v>
      </c>
      <c r="Z461" s="86">
        <v>0</v>
      </c>
      <c r="AA461" s="86">
        <v>0</v>
      </c>
      <c r="AB461" s="88">
        <v>2020</v>
      </c>
    </row>
    <row r="462" spans="1:28" s="1" customFormat="1" ht="35.25" customHeight="1">
      <c r="A462" s="1">
        <v>1</v>
      </c>
      <c r="B462" s="38">
        <f>SUBTOTAL(103,$A$11:A462)</f>
        <v>430</v>
      </c>
      <c r="C462" s="82" t="s">
        <v>546</v>
      </c>
      <c r="D462" s="83">
        <f t="shared" si="36"/>
        <v>61000</v>
      </c>
      <c r="E462" s="86">
        <v>0</v>
      </c>
      <c r="F462" s="86">
        <v>0</v>
      </c>
      <c r="G462" s="86">
        <v>0</v>
      </c>
      <c r="H462" s="86">
        <v>0</v>
      </c>
      <c r="I462" s="86">
        <v>0</v>
      </c>
      <c r="J462" s="86">
        <v>0</v>
      </c>
      <c r="K462" s="87">
        <v>0</v>
      </c>
      <c r="L462" s="86">
        <v>0</v>
      </c>
      <c r="M462" s="86">
        <v>0</v>
      </c>
      <c r="N462" s="86">
        <v>0</v>
      </c>
      <c r="O462" s="86">
        <v>61000</v>
      </c>
      <c r="P462" s="86">
        <v>0</v>
      </c>
      <c r="Q462" s="86">
        <v>0</v>
      </c>
      <c r="R462" s="86">
        <v>0</v>
      </c>
      <c r="S462" s="86">
        <v>0</v>
      </c>
      <c r="T462" s="86">
        <v>0</v>
      </c>
      <c r="U462" s="86">
        <v>0</v>
      </c>
      <c r="V462" s="86">
        <v>0</v>
      </c>
      <c r="W462" s="86">
        <v>0</v>
      </c>
      <c r="X462" s="86">
        <v>0</v>
      </c>
      <c r="Y462" s="86">
        <v>0</v>
      </c>
      <c r="Z462" s="86">
        <v>0</v>
      </c>
      <c r="AA462" s="86">
        <v>0</v>
      </c>
      <c r="AB462" s="88">
        <v>2020</v>
      </c>
    </row>
    <row r="463" spans="1:28" s="1" customFormat="1" ht="35.25" customHeight="1">
      <c r="A463" s="1">
        <v>1</v>
      </c>
      <c r="B463" s="38">
        <f>SUBTOTAL(103,$A$11:A463)</f>
        <v>431</v>
      </c>
      <c r="C463" s="82" t="s">
        <v>547</v>
      </c>
      <c r="D463" s="83">
        <f t="shared" si="36"/>
        <v>44000</v>
      </c>
      <c r="E463" s="86">
        <v>0</v>
      </c>
      <c r="F463" s="86">
        <v>0</v>
      </c>
      <c r="G463" s="86">
        <v>0</v>
      </c>
      <c r="H463" s="86">
        <v>0</v>
      </c>
      <c r="I463" s="86">
        <v>0</v>
      </c>
      <c r="J463" s="86">
        <v>0</v>
      </c>
      <c r="K463" s="87">
        <v>0</v>
      </c>
      <c r="L463" s="86">
        <v>0</v>
      </c>
      <c r="M463" s="86">
        <v>0</v>
      </c>
      <c r="N463" s="86">
        <v>0</v>
      </c>
      <c r="O463" s="86">
        <v>44000</v>
      </c>
      <c r="P463" s="86">
        <v>0</v>
      </c>
      <c r="Q463" s="86">
        <v>0</v>
      </c>
      <c r="R463" s="86">
        <v>0</v>
      </c>
      <c r="S463" s="86">
        <v>0</v>
      </c>
      <c r="T463" s="86">
        <v>0</v>
      </c>
      <c r="U463" s="86">
        <v>0</v>
      </c>
      <c r="V463" s="86">
        <v>0</v>
      </c>
      <c r="W463" s="86">
        <v>0</v>
      </c>
      <c r="X463" s="86">
        <v>0</v>
      </c>
      <c r="Y463" s="86">
        <v>0</v>
      </c>
      <c r="Z463" s="86">
        <v>0</v>
      </c>
      <c r="AA463" s="86">
        <v>0</v>
      </c>
      <c r="AB463" s="88">
        <v>2020</v>
      </c>
    </row>
    <row r="464" spans="1:28" s="1" customFormat="1" ht="35.25" customHeight="1">
      <c r="A464" s="1">
        <v>1</v>
      </c>
      <c r="B464" s="38">
        <f>SUBTOTAL(103,$A$11:A464)</f>
        <v>432</v>
      </c>
      <c r="C464" s="82" t="s">
        <v>871</v>
      </c>
      <c r="D464" s="83">
        <f t="shared" si="36"/>
        <v>678326</v>
      </c>
      <c r="E464" s="86">
        <v>117654</v>
      </c>
      <c r="F464" s="86">
        <v>0</v>
      </c>
      <c r="G464" s="86">
        <v>0</v>
      </c>
      <c r="H464" s="86">
        <v>0</v>
      </c>
      <c r="I464" s="86">
        <v>0</v>
      </c>
      <c r="J464" s="86">
        <v>0</v>
      </c>
      <c r="K464" s="87">
        <v>0</v>
      </c>
      <c r="L464" s="86">
        <v>0</v>
      </c>
      <c r="M464" s="86">
        <v>0</v>
      </c>
      <c r="N464" s="86">
        <v>0</v>
      </c>
      <c r="O464" s="86">
        <v>560672</v>
      </c>
      <c r="P464" s="86">
        <v>0</v>
      </c>
      <c r="Q464" s="86">
        <v>0</v>
      </c>
      <c r="R464" s="86">
        <v>0</v>
      </c>
      <c r="S464" s="86">
        <v>0</v>
      </c>
      <c r="T464" s="86">
        <v>0</v>
      </c>
      <c r="U464" s="86">
        <v>0</v>
      </c>
      <c r="V464" s="86">
        <v>0</v>
      </c>
      <c r="W464" s="86">
        <v>0</v>
      </c>
      <c r="X464" s="86">
        <v>0</v>
      </c>
      <c r="Y464" s="86">
        <v>0</v>
      </c>
      <c r="Z464" s="86">
        <v>0</v>
      </c>
      <c r="AA464" s="86">
        <v>0</v>
      </c>
      <c r="AB464" s="88">
        <v>2020</v>
      </c>
    </row>
    <row r="465" spans="1:28" s="1" customFormat="1" ht="35.25" customHeight="1">
      <c r="B465" s="81" t="s">
        <v>116</v>
      </c>
      <c r="C465" s="82"/>
      <c r="D465" s="83">
        <f>SUM(D466:D468)</f>
        <v>2699535</v>
      </c>
      <c r="E465" s="83">
        <f t="shared" ref="E465:AA465" si="37">SUM(E466:E468)</f>
        <v>0</v>
      </c>
      <c r="F465" s="83">
        <f t="shared" si="37"/>
        <v>0</v>
      </c>
      <c r="G465" s="83">
        <f t="shared" si="37"/>
        <v>0</v>
      </c>
      <c r="H465" s="83">
        <f t="shared" si="37"/>
        <v>0</v>
      </c>
      <c r="I465" s="83">
        <f t="shared" si="37"/>
        <v>368317</v>
      </c>
      <c r="J465" s="83">
        <f t="shared" si="37"/>
        <v>0</v>
      </c>
      <c r="K465" s="84">
        <f t="shared" si="37"/>
        <v>0</v>
      </c>
      <c r="L465" s="83">
        <f t="shared" si="37"/>
        <v>0</v>
      </c>
      <c r="M465" s="83">
        <f t="shared" si="37"/>
        <v>1531213</v>
      </c>
      <c r="N465" s="83">
        <f t="shared" si="37"/>
        <v>0</v>
      </c>
      <c r="O465" s="83">
        <f t="shared" si="37"/>
        <v>800005</v>
      </c>
      <c r="P465" s="83">
        <f t="shared" si="37"/>
        <v>0</v>
      </c>
      <c r="Q465" s="83">
        <f t="shared" si="37"/>
        <v>0</v>
      </c>
      <c r="R465" s="83">
        <f t="shared" si="37"/>
        <v>0</v>
      </c>
      <c r="S465" s="83">
        <f t="shared" si="37"/>
        <v>0</v>
      </c>
      <c r="T465" s="83">
        <f t="shared" si="37"/>
        <v>0</v>
      </c>
      <c r="U465" s="83">
        <f t="shared" si="37"/>
        <v>0</v>
      </c>
      <c r="V465" s="83">
        <f t="shared" si="37"/>
        <v>0</v>
      </c>
      <c r="W465" s="83">
        <f t="shared" si="37"/>
        <v>0</v>
      </c>
      <c r="X465" s="83">
        <f t="shared" si="37"/>
        <v>0</v>
      </c>
      <c r="Y465" s="83">
        <f t="shared" si="37"/>
        <v>0</v>
      </c>
      <c r="Z465" s="83">
        <f t="shared" si="37"/>
        <v>0</v>
      </c>
      <c r="AA465" s="83">
        <f t="shared" si="37"/>
        <v>0</v>
      </c>
      <c r="AB465" s="85" t="s">
        <v>131</v>
      </c>
    </row>
    <row r="466" spans="1:28" s="1" customFormat="1" ht="35.25" customHeight="1">
      <c r="A466" s="1">
        <v>1</v>
      </c>
      <c r="B466" s="38">
        <f>SUBTOTAL(103,$A$11:A466)</f>
        <v>433</v>
      </c>
      <c r="C466" s="82" t="s">
        <v>872</v>
      </c>
      <c r="D466" s="83">
        <f>E466+F466+G466+H466+I466+J466+L466+M466+N466+O466+P466+Q466+R466+S466+T466+U466+V466+W466+X466+Y466+Z466+AA466</f>
        <v>1531213</v>
      </c>
      <c r="E466" s="86">
        <v>0</v>
      </c>
      <c r="F466" s="86">
        <v>0</v>
      </c>
      <c r="G466" s="86">
        <v>0</v>
      </c>
      <c r="H466" s="86">
        <v>0</v>
      </c>
      <c r="I466" s="86">
        <v>0</v>
      </c>
      <c r="J466" s="86">
        <v>0</v>
      </c>
      <c r="K466" s="87">
        <v>0</v>
      </c>
      <c r="L466" s="86">
        <v>0</v>
      </c>
      <c r="M466" s="86">
        <v>1531213</v>
      </c>
      <c r="N466" s="86">
        <v>0</v>
      </c>
      <c r="O466" s="86">
        <v>0</v>
      </c>
      <c r="P466" s="86">
        <v>0</v>
      </c>
      <c r="Q466" s="86">
        <v>0</v>
      </c>
      <c r="R466" s="86">
        <v>0</v>
      </c>
      <c r="S466" s="86">
        <v>0</v>
      </c>
      <c r="T466" s="86">
        <v>0</v>
      </c>
      <c r="U466" s="86">
        <v>0</v>
      </c>
      <c r="V466" s="86">
        <v>0</v>
      </c>
      <c r="W466" s="86">
        <v>0</v>
      </c>
      <c r="X466" s="86">
        <v>0</v>
      </c>
      <c r="Y466" s="86">
        <v>0</v>
      </c>
      <c r="Z466" s="86">
        <v>0</v>
      </c>
      <c r="AA466" s="86">
        <v>0</v>
      </c>
      <c r="AB466" s="88">
        <v>2020</v>
      </c>
    </row>
    <row r="467" spans="1:28" s="1" customFormat="1" ht="35.25" customHeight="1">
      <c r="A467" s="1">
        <v>1</v>
      </c>
      <c r="B467" s="38">
        <f>SUBTOTAL(103,$A$11:A467)</f>
        <v>434</v>
      </c>
      <c r="C467" s="82" t="s">
        <v>873</v>
      </c>
      <c r="D467" s="83">
        <f>E467+F467+G467+H467+I467+J467+L467+M467+N467+O467+P467+Q467+R467+S467+T467+U467+V467+W467+X467+Y467+Z467+AA467</f>
        <v>800005</v>
      </c>
      <c r="E467" s="86">
        <v>0</v>
      </c>
      <c r="F467" s="86">
        <v>0</v>
      </c>
      <c r="G467" s="86">
        <v>0</v>
      </c>
      <c r="H467" s="86">
        <v>0</v>
      </c>
      <c r="I467" s="86">
        <v>0</v>
      </c>
      <c r="J467" s="86">
        <v>0</v>
      </c>
      <c r="K467" s="87">
        <v>0</v>
      </c>
      <c r="L467" s="86">
        <v>0</v>
      </c>
      <c r="M467" s="86">
        <v>0</v>
      </c>
      <c r="N467" s="86">
        <v>0</v>
      </c>
      <c r="O467" s="86">
        <v>800005</v>
      </c>
      <c r="P467" s="86">
        <v>0</v>
      </c>
      <c r="Q467" s="86">
        <v>0</v>
      </c>
      <c r="R467" s="86">
        <v>0</v>
      </c>
      <c r="S467" s="86">
        <v>0</v>
      </c>
      <c r="T467" s="86">
        <v>0</v>
      </c>
      <c r="U467" s="86">
        <v>0</v>
      </c>
      <c r="V467" s="86">
        <v>0</v>
      </c>
      <c r="W467" s="86">
        <v>0</v>
      </c>
      <c r="X467" s="86">
        <v>0</v>
      </c>
      <c r="Y467" s="86">
        <v>0</v>
      </c>
      <c r="Z467" s="86">
        <v>0</v>
      </c>
      <c r="AA467" s="86">
        <v>0</v>
      </c>
      <c r="AB467" s="88">
        <v>2020</v>
      </c>
    </row>
    <row r="468" spans="1:28" s="1" customFormat="1" ht="35.25" customHeight="1">
      <c r="A468" s="1">
        <v>1</v>
      </c>
      <c r="B468" s="38">
        <f>SUBTOTAL(103,$A$11:A468)</f>
        <v>435</v>
      </c>
      <c r="C468" s="82" t="s">
        <v>874</v>
      </c>
      <c r="D468" s="83">
        <f>E468+F468+G468+H468+I468+J468+L468+M468+N468+O468+P468+Q468+R468+S468+T468+U468+V468+W468+X468+Y468+Z468+AA468</f>
        <v>368317</v>
      </c>
      <c r="E468" s="86">
        <v>0</v>
      </c>
      <c r="F468" s="86">
        <v>0</v>
      </c>
      <c r="G468" s="86">
        <v>0</v>
      </c>
      <c r="H468" s="86">
        <v>0</v>
      </c>
      <c r="I468" s="86">
        <v>368317</v>
      </c>
      <c r="J468" s="86">
        <v>0</v>
      </c>
      <c r="K468" s="87">
        <v>0</v>
      </c>
      <c r="L468" s="86">
        <v>0</v>
      </c>
      <c r="M468" s="86">
        <v>0</v>
      </c>
      <c r="N468" s="86">
        <v>0</v>
      </c>
      <c r="O468" s="86">
        <v>0</v>
      </c>
      <c r="P468" s="86">
        <v>0</v>
      </c>
      <c r="Q468" s="86">
        <v>0</v>
      </c>
      <c r="R468" s="86">
        <v>0</v>
      </c>
      <c r="S468" s="86">
        <v>0</v>
      </c>
      <c r="T468" s="86">
        <v>0</v>
      </c>
      <c r="U468" s="86">
        <v>0</v>
      </c>
      <c r="V468" s="86">
        <v>0</v>
      </c>
      <c r="W468" s="86">
        <v>0</v>
      </c>
      <c r="X468" s="86">
        <v>0</v>
      </c>
      <c r="Y468" s="86">
        <v>0</v>
      </c>
      <c r="Z468" s="86">
        <v>0</v>
      </c>
      <c r="AA468" s="86">
        <v>0</v>
      </c>
      <c r="AB468" s="88">
        <v>2020</v>
      </c>
    </row>
    <row r="469" spans="1:28" s="1" customFormat="1" ht="35.25" customHeight="1">
      <c r="B469" s="81" t="s">
        <v>115</v>
      </c>
      <c r="C469" s="82"/>
      <c r="D469" s="83">
        <f>SUM(D470:D473)</f>
        <v>4565291.7300000004</v>
      </c>
      <c r="E469" s="83">
        <f t="shared" ref="E469:AA469" si="38">SUM(E470:E473)</f>
        <v>0</v>
      </c>
      <c r="F469" s="83">
        <f t="shared" si="38"/>
        <v>0</v>
      </c>
      <c r="G469" s="83">
        <f t="shared" si="38"/>
        <v>0</v>
      </c>
      <c r="H469" s="83">
        <f t="shared" si="38"/>
        <v>0</v>
      </c>
      <c r="I469" s="83">
        <f t="shared" si="38"/>
        <v>0</v>
      </c>
      <c r="J469" s="83">
        <f t="shared" si="38"/>
        <v>0</v>
      </c>
      <c r="K469" s="84">
        <f t="shared" si="38"/>
        <v>0</v>
      </c>
      <c r="L469" s="83">
        <f t="shared" si="38"/>
        <v>0</v>
      </c>
      <c r="M469" s="83">
        <f t="shared" si="38"/>
        <v>3672797.36</v>
      </c>
      <c r="N469" s="83">
        <f t="shared" si="38"/>
        <v>0</v>
      </c>
      <c r="O469" s="83">
        <f t="shared" si="38"/>
        <v>663650</v>
      </c>
      <c r="P469" s="83">
        <f t="shared" si="38"/>
        <v>228844.37</v>
      </c>
      <c r="Q469" s="83">
        <f t="shared" si="38"/>
        <v>0</v>
      </c>
      <c r="R469" s="83">
        <f t="shared" si="38"/>
        <v>0</v>
      </c>
      <c r="S469" s="83">
        <f t="shared" si="38"/>
        <v>0</v>
      </c>
      <c r="T469" s="83">
        <f t="shared" si="38"/>
        <v>0</v>
      </c>
      <c r="U469" s="83">
        <f t="shared" si="38"/>
        <v>0</v>
      </c>
      <c r="V469" s="83">
        <f t="shared" si="38"/>
        <v>0</v>
      </c>
      <c r="W469" s="83">
        <f t="shared" si="38"/>
        <v>0</v>
      </c>
      <c r="X469" s="83">
        <f t="shared" si="38"/>
        <v>0</v>
      </c>
      <c r="Y469" s="83">
        <f t="shared" si="38"/>
        <v>0</v>
      </c>
      <c r="Z469" s="83">
        <f t="shared" si="38"/>
        <v>0</v>
      </c>
      <c r="AA469" s="83">
        <f t="shared" si="38"/>
        <v>0</v>
      </c>
      <c r="AB469" s="85" t="s">
        <v>131</v>
      </c>
    </row>
    <row r="470" spans="1:28" s="1" customFormat="1" ht="35.25" customHeight="1">
      <c r="A470" s="1">
        <v>1</v>
      </c>
      <c r="B470" s="38">
        <f>SUBTOTAL(103,$A$11:A470)</f>
        <v>436</v>
      </c>
      <c r="C470" s="82" t="s">
        <v>875</v>
      </c>
      <c r="D470" s="83">
        <f>E470+F470+G470+H470+I470+J470+L470+M470+N470+O470+P470+Q470+R470+S470+T470+U470+V470+W470+X470+Y470+Z470+AA470</f>
        <v>598629.73</v>
      </c>
      <c r="E470" s="86">
        <v>0</v>
      </c>
      <c r="F470" s="86">
        <v>0</v>
      </c>
      <c r="G470" s="86">
        <v>0</v>
      </c>
      <c r="H470" s="86">
        <v>0</v>
      </c>
      <c r="I470" s="86">
        <v>0</v>
      </c>
      <c r="J470" s="86">
        <v>0</v>
      </c>
      <c r="K470" s="87">
        <v>0</v>
      </c>
      <c r="L470" s="86">
        <v>0</v>
      </c>
      <c r="M470" s="86">
        <v>369785.36</v>
      </c>
      <c r="N470" s="86">
        <v>0</v>
      </c>
      <c r="O470" s="86">
        <v>0</v>
      </c>
      <c r="P470" s="86">
        <v>228844.37</v>
      </c>
      <c r="Q470" s="86">
        <v>0</v>
      </c>
      <c r="R470" s="86">
        <v>0</v>
      </c>
      <c r="S470" s="86">
        <v>0</v>
      </c>
      <c r="T470" s="86">
        <v>0</v>
      </c>
      <c r="U470" s="86">
        <v>0</v>
      </c>
      <c r="V470" s="86">
        <v>0</v>
      </c>
      <c r="W470" s="86">
        <v>0</v>
      </c>
      <c r="X470" s="86">
        <v>0</v>
      </c>
      <c r="Y470" s="86">
        <v>0</v>
      </c>
      <c r="Z470" s="86">
        <v>0</v>
      </c>
      <c r="AA470" s="86">
        <v>0</v>
      </c>
      <c r="AB470" s="88">
        <v>2020</v>
      </c>
    </row>
    <row r="471" spans="1:28" s="1" customFormat="1" ht="35.25" customHeight="1">
      <c r="A471" s="1">
        <v>1</v>
      </c>
      <c r="B471" s="38">
        <f>SUBTOTAL(103,$A$11:A471)</f>
        <v>437</v>
      </c>
      <c r="C471" s="82" t="s">
        <v>876</v>
      </c>
      <c r="D471" s="83">
        <f>E471+F471+G471+H471+I471+J471+L471+M471+N471+O471+P471+Q471+R471+S471+T471+U471+V471+W471+X471+Y471+Z471+AA471</f>
        <v>1940000</v>
      </c>
      <c r="E471" s="86">
        <v>0</v>
      </c>
      <c r="F471" s="86">
        <v>0</v>
      </c>
      <c r="G471" s="86">
        <v>0</v>
      </c>
      <c r="H471" s="86">
        <v>0</v>
      </c>
      <c r="I471" s="86">
        <v>0</v>
      </c>
      <c r="J471" s="86">
        <v>0</v>
      </c>
      <c r="K471" s="87">
        <v>0</v>
      </c>
      <c r="L471" s="86">
        <v>0</v>
      </c>
      <c r="M471" s="86">
        <v>1940000</v>
      </c>
      <c r="N471" s="86">
        <v>0</v>
      </c>
      <c r="O471" s="86">
        <v>0</v>
      </c>
      <c r="P471" s="86">
        <v>0</v>
      </c>
      <c r="Q471" s="86">
        <v>0</v>
      </c>
      <c r="R471" s="86">
        <v>0</v>
      </c>
      <c r="S471" s="86">
        <v>0</v>
      </c>
      <c r="T471" s="86">
        <v>0</v>
      </c>
      <c r="U471" s="86">
        <v>0</v>
      </c>
      <c r="V471" s="86">
        <v>0</v>
      </c>
      <c r="W471" s="86">
        <v>0</v>
      </c>
      <c r="X471" s="86">
        <v>0</v>
      </c>
      <c r="Y471" s="86">
        <v>0</v>
      </c>
      <c r="Z471" s="86">
        <v>0</v>
      </c>
      <c r="AA471" s="86">
        <v>0</v>
      </c>
      <c r="AB471" s="88">
        <v>2020</v>
      </c>
    </row>
    <row r="472" spans="1:28" s="1" customFormat="1" ht="35.25" customHeight="1">
      <c r="A472" s="1">
        <v>1</v>
      </c>
      <c r="B472" s="38">
        <f>SUBTOTAL(103,$A$11:A472)</f>
        <v>438</v>
      </c>
      <c r="C472" s="82" t="s">
        <v>877</v>
      </c>
      <c r="D472" s="83">
        <f>E472+F472+G472+H472+I472+J472+L472+M472+N472+O472+P472+Q472+R472+S472+T472+U472+V472+W472+X472+Y472+Z472+AA472</f>
        <v>1363012</v>
      </c>
      <c r="E472" s="86">
        <v>0</v>
      </c>
      <c r="F472" s="86">
        <v>0</v>
      </c>
      <c r="G472" s="86">
        <v>0</v>
      </c>
      <c r="H472" s="86">
        <v>0</v>
      </c>
      <c r="I472" s="86">
        <v>0</v>
      </c>
      <c r="J472" s="86">
        <v>0</v>
      </c>
      <c r="K472" s="87">
        <v>0</v>
      </c>
      <c r="L472" s="86">
        <v>0</v>
      </c>
      <c r="M472" s="86">
        <v>1363012</v>
      </c>
      <c r="N472" s="86">
        <v>0</v>
      </c>
      <c r="O472" s="86">
        <v>0</v>
      </c>
      <c r="P472" s="86">
        <v>0</v>
      </c>
      <c r="Q472" s="86">
        <v>0</v>
      </c>
      <c r="R472" s="86">
        <v>0</v>
      </c>
      <c r="S472" s="86">
        <v>0</v>
      </c>
      <c r="T472" s="86">
        <v>0</v>
      </c>
      <c r="U472" s="86">
        <v>0</v>
      </c>
      <c r="V472" s="86">
        <v>0</v>
      </c>
      <c r="W472" s="86">
        <v>0</v>
      </c>
      <c r="X472" s="86">
        <v>0</v>
      </c>
      <c r="Y472" s="86">
        <v>0</v>
      </c>
      <c r="Z472" s="86">
        <v>0</v>
      </c>
      <c r="AA472" s="86">
        <v>0</v>
      </c>
      <c r="AB472" s="88">
        <v>2020</v>
      </c>
    </row>
    <row r="473" spans="1:28" s="1" customFormat="1" ht="35.25" customHeight="1">
      <c r="A473" s="1">
        <v>1</v>
      </c>
      <c r="B473" s="38">
        <f>SUBTOTAL(103,$A$11:A473)</f>
        <v>439</v>
      </c>
      <c r="C473" s="82" t="s">
        <v>878</v>
      </c>
      <c r="D473" s="83">
        <f>E473+F473+G473+H473+I473+J473+L473+M473+N473+O473+P473+Q473+R473+S473+T473+U473+V473+W473+X473+Y473+Z473+AA473</f>
        <v>663650</v>
      </c>
      <c r="E473" s="86">
        <v>0</v>
      </c>
      <c r="F473" s="86">
        <v>0</v>
      </c>
      <c r="G473" s="86">
        <v>0</v>
      </c>
      <c r="H473" s="86">
        <v>0</v>
      </c>
      <c r="I473" s="86">
        <v>0</v>
      </c>
      <c r="J473" s="86">
        <v>0</v>
      </c>
      <c r="K473" s="87">
        <v>0</v>
      </c>
      <c r="L473" s="86">
        <v>0</v>
      </c>
      <c r="M473" s="86">
        <v>0</v>
      </c>
      <c r="N473" s="86">
        <v>0</v>
      </c>
      <c r="O473" s="86">
        <v>663650</v>
      </c>
      <c r="P473" s="86">
        <v>0</v>
      </c>
      <c r="Q473" s="86">
        <v>0</v>
      </c>
      <c r="R473" s="86">
        <v>0</v>
      </c>
      <c r="S473" s="86">
        <v>0</v>
      </c>
      <c r="T473" s="86">
        <v>0</v>
      </c>
      <c r="U473" s="86">
        <v>0</v>
      </c>
      <c r="V473" s="86">
        <v>0</v>
      </c>
      <c r="W473" s="86">
        <v>0</v>
      </c>
      <c r="X473" s="86">
        <v>0</v>
      </c>
      <c r="Y473" s="86">
        <v>0</v>
      </c>
      <c r="Z473" s="86">
        <v>0</v>
      </c>
      <c r="AA473" s="86">
        <v>0</v>
      </c>
      <c r="AB473" s="88">
        <v>2020</v>
      </c>
    </row>
    <row r="474" spans="1:28" s="1" customFormat="1" ht="35.25" customHeight="1">
      <c r="B474" s="81" t="s">
        <v>121</v>
      </c>
      <c r="C474" s="82"/>
      <c r="D474" s="83">
        <f>SUM(D475:D480)</f>
        <v>2084622.03</v>
      </c>
      <c r="E474" s="83">
        <f t="shared" ref="E474:AA474" si="39">SUM(E475:E480)</f>
        <v>0</v>
      </c>
      <c r="F474" s="83">
        <f t="shared" si="39"/>
        <v>0</v>
      </c>
      <c r="G474" s="83">
        <f t="shared" si="39"/>
        <v>0</v>
      </c>
      <c r="H474" s="83">
        <f t="shared" si="39"/>
        <v>0</v>
      </c>
      <c r="I474" s="83">
        <f t="shared" si="39"/>
        <v>400852</v>
      </c>
      <c r="J474" s="83">
        <f t="shared" si="39"/>
        <v>0</v>
      </c>
      <c r="K474" s="84">
        <f t="shared" si="39"/>
        <v>0</v>
      </c>
      <c r="L474" s="83">
        <f t="shared" si="39"/>
        <v>0</v>
      </c>
      <c r="M474" s="83">
        <f t="shared" si="39"/>
        <v>0</v>
      </c>
      <c r="N474" s="83">
        <f t="shared" si="39"/>
        <v>78045.73</v>
      </c>
      <c r="O474" s="83">
        <f t="shared" si="39"/>
        <v>1441694.5</v>
      </c>
      <c r="P474" s="83">
        <f t="shared" si="39"/>
        <v>164029.79999999999</v>
      </c>
      <c r="Q474" s="83">
        <f t="shared" si="39"/>
        <v>0</v>
      </c>
      <c r="R474" s="83">
        <f t="shared" si="39"/>
        <v>0</v>
      </c>
      <c r="S474" s="83">
        <f t="shared" si="39"/>
        <v>0</v>
      </c>
      <c r="T474" s="83">
        <f t="shared" si="39"/>
        <v>0</v>
      </c>
      <c r="U474" s="83">
        <f t="shared" si="39"/>
        <v>0</v>
      </c>
      <c r="V474" s="83">
        <f t="shared" si="39"/>
        <v>0</v>
      </c>
      <c r="W474" s="83">
        <f t="shared" si="39"/>
        <v>0</v>
      </c>
      <c r="X474" s="83">
        <f t="shared" si="39"/>
        <v>0</v>
      </c>
      <c r="Y474" s="83">
        <f t="shared" si="39"/>
        <v>0</v>
      </c>
      <c r="Z474" s="83">
        <f t="shared" si="39"/>
        <v>0</v>
      </c>
      <c r="AA474" s="83">
        <f t="shared" si="39"/>
        <v>0</v>
      </c>
      <c r="AB474" s="85" t="s">
        <v>131</v>
      </c>
    </row>
    <row r="475" spans="1:28" s="1" customFormat="1" ht="35.25" customHeight="1">
      <c r="A475" s="1">
        <v>1</v>
      </c>
      <c r="B475" s="38">
        <f>SUBTOTAL(103,$A$11:A475)</f>
        <v>440</v>
      </c>
      <c r="C475" s="82" t="s">
        <v>879</v>
      </c>
      <c r="D475" s="83">
        <f t="shared" ref="D475:D480" si="40">E475+F475+G475+H475+I475+J475+L475+M475+N475+O475+P475+Q475+R475+S475+T475+U475+V475+W475+X475+Y475+Z475+AA475</f>
        <v>190801.84</v>
      </c>
      <c r="E475" s="86">
        <v>0</v>
      </c>
      <c r="F475" s="86">
        <v>0</v>
      </c>
      <c r="G475" s="86">
        <v>0</v>
      </c>
      <c r="H475" s="86">
        <v>0</v>
      </c>
      <c r="I475" s="86">
        <v>0</v>
      </c>
      <c r="J475" s="86">
        <v>0</v>
      </c>
      <c r="K475" s="87">
        <v>0</v>
      </c>
      <c r="L475" s="86">
        <v>0</v>
      </c>
      <c r="M475" s="86">
        <v>0</v>
      </c>
      <c r="N475" s="86">
        <v>0</v>
      </c>
      <c r="O475" s="86">
        <v>190801.84</v>
      </c>
      <c r="P475" s="86">
        <v>0</v>
      </c>
      <c r="Q475" s="86">
        <v>0</v>
      </c>
      <c r="R475" s="86">
        <v>0</v>
      </c>
      <c r="S475" s="86">
        <v>0</v>
      </c>
      <c r="T475" s="86">
        <v>0</v>
      </c>
      <c r="U475" s="86">
        <v>0</v>
      </c>
      <c r="V475" s="86">
        <v>0</v>
      </c>
      <c r="W475" s="86">
        <v>0</v>
      </c>
      <c r="X475" s="86">
        <v>0</v>
      </c>
      <c r="Y475" s="86">
        <v>0</v>
      </c>
      <c r="Z475" s="86">
        <v>0</v>
      </c>
      <c r="AA475" s="86">
        <v>0</v>
      </c>
      <c r="AB475" s="88">
        <v>2020</v>
      </c>
    </row>
    <row r="476" spans="1:28" s="1" customFormat="1" ht="35.25" customHeight="1">
      <c r="A476" s="1">
        <v>1</v>
      </c>
      <c r="B476" s="38">
        <f>SUBTOTAL(103,$A$11:A476)</f>
        <v>441</v>
      </c>
      <c r="C476" s="82" t="s">
        <v>880</v>
      </c>
      <c r="D476" s="83">
        <f t="shared" si="40"/>
        <v>78045.73</v>
      </c>
      <c r="E476" s="86">
        <v>0</v>
      </c>
      <c r="F476" s="86">
        <v>0</v>
      </c>
      <c r="G476" s="86">
        <v>0</v>
      </c>
      <c r="H476" s="86">
        <v>0</v>
      </c>
      <c r="I476" s="86">
        <v>0</v>
      </c>
      <c r="J476" s="86">
        <v>0</v>
      </c>
      <c r="K476" s="87">
        <v>0</v>
      </c>
      <c r="L476" s="86">
        <v>0</v>
      </c>
      <c r="M476" s="86">
        <v>0</v>
      </c>
      <c r="N476" s="86">
        <v>78045.73</v>
      </c>
      <c r="O476" s="86">
        <v>0</v>
      </c>
      <c r="P476" s="86">
        <v>0</v>
      </c>
      <c r="Q476" s="86">
        <v>0</v>
      </c>
      <c r="R476" s="86">
        <v>0</v>
      </c>
      <c r="S476" s="86">
        <v>0</v>
      </c>
      <c r="T476" s="86">
        <v>0</v>
      </c>
      <c r="U476" s="86">
        <v>0</v>
      </c>
      <c r="V476" s="86">
        <v>0</v>
      </c>
      <c r="W476" s="86">
        <v>0</v>
      </c>
      <c r="X476" s="86">
        <v>0</v>
      </c>
      <c r="Y476" s="86">
        <v>0</v>
      </c>
      <c r="Z476" s="86">
        <v>0</v>
      </c>
      <c r="AA476" s="86">
        <v>0</v>
      </c>
      <c r="AB476" s="88">
        <v>2020</v>
      </c>
    </row>
    <row r="477" spans="1:28" s="1" customFormat="1" ht="35.25" customHeight="1">
      <c r="A477" s="1">
        <v>1</v>
      </c>
      <c r="B477" s="38">
        <f>SUBTOTAL(103,$A$11:A477)</f>
        <v>442</v>
      </c>
      <c r="C477" s="82" t="s">
        <v>881</v>
      </c>
      <c r="D477" s="83">
        <f t="shared" si="40"/>
        <v>282509.7</v>
      </c>
      <c r="E477" s="86">
        <v>0</v>
      </c>
      <c r="F477" s="86">
        <v>0</v>
      </c>
      <c r="G477" s="86">
        <v>0</v>
      </c>
      <c r="H477" s="86">
        <v>0</v>
      </c>
      <c r="I477" s="86">
        <v>0</v>
      </c>
      <c r="J477" s="86">
        <v>0</v>
      </c>
      <c r="K477" s="87">
        <v>0</v>
      </c>
      <c r="L477" s="86">
        <v>0</v>
      </c>
      <c r="M477" s="86">
        <v>0</v>
      </c>
      <c r="N477" s="86">
        <v>0</v>
      </c>
      <c r="O477" s="86">
        <v>282509.7</v>
      </c>
      <c r="P477" s="86">
        <v>0</v>
      </c>
      <c r="Q477" s="86">
        <v>0</v>
      </c>
      <c r="R477" s="86">
        <v>0</v>
      </c>
      <c r="S477" s="86">
        <v>0</v>
      </c>
      <c r="T477" s="86">
        <v>0</v>
      </c>
      <c r="U477" s="86">
        <v>0</v>
      </c>
      <c r="V477" s="86">
        <v>0</v>
      </c>
      <c r="W477" s="86">
        <v>0</v>
      </c>
      <c r="X477" s="86">
        <v>0</v>
      </c>
      <c r="Y477" s="86">
        <v>0</v>
      </c>
      <c r="Z477" s="86">
        <v>0</v>
      </c>
      <c r="AA477" s="86">
        <v>0</v>
      </c>
      <c r="AB477" s="88">
        <v>2020</v>
      </c>
    </row>
    <row r="478" spans="1:28" s="1" customFormat="1" ht="35.25" customHeight="1">
      <c r="A478" s="1">
        <v>1</v>
      </c>
      <c r="B478" s="38">
        <f>SUBTOTAL(103,$A$11:A478)</f>
        <v>443</v>
      </c>
      <c r="C478" s="82" t="s">
        <v>882</v>
      </c>
      <c r="D478" s="83">
        <f t="shared" si="40"/>
        <v>711071</v>
      </c>
      <c r="E478" s="86">
        <v>0</v>
      </c>
      <c r="F478" s="86">
        <v>0</v>
      </c>
      <c r="G478" s="86">
        <v>0</v>
      </c>
      <c r="H478" s="86">
        <v>0</v>
      </c>
      <c r="I478" s="86">
        <v>400852</v>
      </c>
      <c r="J478" s="86">
        <v>0</v>
      </c>
      <c r="K478" s="87">
        <v>0</v>
      </c>
      <c r="L478" s="86">
        <v>0</v>
      </c>
      <c r="M478" s="86">
        <v>0</v>
      </c>
      <c r="N478" s="86">
        <v>0</v>
      </c>
      <c r="O478" s="86">
        <v>310219</v>
      </c>
      <c r="P478" s="86">
        <v>0</v>
      </c>
      <c r="Q478" s="86">
        <v>0</v>
      </c>
      <c r="R478" s="86">
        <v>0</v>
      </c>
      <c r="S478" s="86">
        <v>0</v>
      </c>
      <c r="T478" s="86">
        <v>0</v>
      </c>
      <c r="U478" s="86">
        <v>0</v>
      </c>
      <c r="V478" s="86">
        <v>0</v>
      </c>
      <c r="W478" s="86">
        <v>0</v>
      </c>
      <c r="X478" s="86">
        <v>0</v>
      </c>
      <c r="Y478" s="86">
        <v>0</v>
      </c>
      <c r="Z478" s="86">
        <v>0</v>
      </c>
      <c r="AA478" s="86">
        <v>0</v>
      </c>
      <c r="AB478" s="88">
        <v>2020</v>
      </c>
    </row>
    <row r="479" spans="1:28" s="1" customFormat="1" ht="35.25" customHeight="1">
      <c r="A479" s="1">
        <v>1</v>
      </c>
      <c r="B479" s="38">
        <f>SUBTOTAL(103,$A$11:A479)</f>
        <v>444</v>
      </c>
      <c r="C479" s="82" t="s">
        <v>883</v>
      </c>
      <c r="D479" s="83">
        <f t="shared" si="40"/>
        <v>658163.96</v>
      </c>
      <c r="E479" s="86">
        <v>0</v>
      </c>
      <c r="F479" s="86">
        <v>0</v>
      </c>
      <c r="G479" s="86">
        <v>0</v>
      </c>
      <c r="H479" s="86">
        <v>0</v>
      </c>
      <c r="I479" s="86">
        <v>0</v>
      </c>
      <c r="J479" s="86">
        <v>0</v>
      </c>
      <c r="K479" s="87">
        <v>0</v>
      </c>
      <c r="L479" s="86">
        <v>0</v>
      </c>
      <c r="M479" s="86">
        <v>0</v>
      </c>
      <c r="N479" s="86">
        <v>0</v>
      </c>
      <c r="O479" s="86">
        <v>658163.96</v>
      </c>
      <c r="P479" s="86">
        <v>0</v>
      </c>
      <c r="Q479" s="86">
        <v>0</v>
      </c>
      <c r="R479" s="86">
        <v>0</v>
      </c>
      <c r="S479" s="86">
        <v>0</v>
      </c>
      <c r="T479" s="86">
        <v>0</v>
      </c>
      <c r="U479" s="86">
        <v>0</v>
      </c>
      <c r="V479" s="86">
        <v>0</v>
      </c>
      <c r="W479" s="86">
        <v>0</v>
      </c>
      <c r="X479" s="86">
        <v>0</v>
      </c>
      <c r="Y479" s="86">
        <v>0</v>
      </c>
      <c r="Z479" s="86">
        <v>0</v>
      </c>
      <c r="AA479" s="86">
        <v>0</v>
      </c>
      <c r="AB479" s="88">
        <v>2020</v>
      </c>
    </row>
    <row r="480" spans="1:28" s="1" customFormat="1" ht="35.25" customHeight="1">
      <c r="A480" s="1">
        <v>1</v>
      </c>
      <c r="B480" s="38">
        <f>SUBTOTAL(103,$A$11:A480)</f>
        <v>445</v>
      </c>
      <c r="C480" s="82" t="s">
        <v>884</v>
      </c>
      <c r="D480" s="83">
        <f t="shared" si="40"/>
        <v>164029.79999999999</v>
      </c>
      <c r="E480" s="86">
        <v>0</v>
      </c>
      <c r="F480" s="86">
        <v>0</v>
      </c>
      <c r="G480" s="86">
        <v>0</v>
      </c>
      <c r="H480" s="86">
        <v>0</v>
      </c>
      <c r="I480" s="86">
        <v>0</v>
      </c>
      <c r="J480" s="86">
        <v>0</v>
      </c>
      <c r="K480" s="87">
        <v>0</v>
      </c>
      <c r="L480" s="86">
        <v>0</v>
      </c>
      <c r="M480" s="86">
        <v>0</v>
      </c>
      <c r="N480" s="86">
        <v>0</v>
      </c>
      <c r="O480" s="86">
        <v>0</v>
      </c>
      <c r="P480" s="86">
        <v>164029.79999999999</v>
      </c>
      <c r="Q480" s="86">
        <v>0</v>
      </c>
      <c r="R480" s="86">
        <v>0</v>
      </c>
      <c r="S480" s="86">
        <v>0</v>
      </c>
      <c r="T480" s="86">
        <v>0</v>
      </c>
      <c r="U480" s="86">
        <v>0</v>
      </c>
      <c r="V480" s="86">
        <v>0</v>
      </c>
      <c r="W480" s="86">
        <v>0</v>
      </c>
      <c r="X480" s="86">
        <v>0</v>
      </c>
      <c r="Y480" s="86">
        <v>0</v>
      </c>
      <c r="Z480" s="86">
        <v>0</v>
      </c>
      <c r="AA480" s="86">
        <v>0</v>
      </c>
      <c r="AB480" s="88">
        <v>2020</v>
      </c>
    </row>
    <row r="481" spans="1:28" s="1" customFormat="1" ht="35.25" customHeight="1">
      <c r="B481" s="81" t="s">
        <v>885</v>
      </c>
      <c r="C481" s="82"/>
      <c r="D481" s="83">
        <f t="shared" ref="D481:AA481" si="41">SUM(D482:D483)</f>
        <v>526489.5</v>
      </c>
      <c r="E481" s="83">
        <f t="shared" si="41"/>
        <v>0</v>
      </c>
      <c r="F481" s="83">
        <f t="shared" si="41"/>
        <v>0</v>
      </c>
      <c r="G481" s="83">
        <f t="shared" si="41"/>
        <v>526489.5</v>
      </c>
      <c r="H481" s="83">
        <f t="shared" si="41"/>
        <v>0</v>
      </c>
      <c r="I481" s="83">
        <f t="shared" si="41"/>
        <v>0</v>
      </c>
      <c r="J481" s="83">
        <f t="shared" si="41"/>
        <v>0</v>
      </c>
      <c r="K481" s="84">
        <f t="shared" si="41"/>
        <v>0</v>
      </c>
      <c r="L481" s="83">
        <f t="shared" si="41"/>
        <v>0</v>
      </c>
      <c r="M481" s="83">
        <f t="shared" si="41"/>
        <v>0</v>
      </c>
      <c r="N481" s="83">
        <f t="shared" si="41"/>
        <v>0</v>
      </c>
      <c r="O481" s="83">
        <f t="shared" si="41"/>
        <v>0</v>
      </c>
      <c r="P481" s="83">
        <f t="shared" si="41"/>
        <v>0</v>
      </c>
      <c r="Q481" s="83">
        <f t="shared" si="41"/>
        <v>0</v>
      </c>
      <c r="R481" s="83">
        <f t="shared" si="41"/>
        <v>0</v>
      </c>
      <c r="S481" s="83">
        <f t="shared" si="41"/>
        <v>0</v>
      </c>
      <c r="T481" s="83">
        <f t="shared" si="41"/>
        <v>0</v>
      </c>
      <c r="U481" s="83">
        <f t="shared" si="41"/>
        <v>0</v>
      </c>
      <c r="V481" s="83">
        <f t="shared" si="41"/>
        <v>0</v>
      </c>
      <c r="W481" s="83">
        <f t="shared" si="41"/>
        <v>0</v>
      </c>
      <c r="X481" s="83">
        <f t="shared" si="41"/>
        <v>0</v>
      </c>
      <c r="Y481" s="83">
        <f t="shared" si="41"/>
        <v>0</v>
      </c>
      <c r="Z481" s="83">
        <f t="shared" si="41"/>
        <v>0</v>
      </c>
      <c r="AA481" s="83">
        <f t="shared" si="41"/>
        <v>0</v>
      </c>
      <c r="AB481" s="85" t="s">
        <v>131</v>
      </c>
    </row>
    <row r="482" spans="1:28" s="1" customFormat="1" ht="35.25" customHeight="1">
      <c r="A482" s="1">
        <v>1</v>
      </c>
      <c r="B482" s="38">
        <f>SUBTOTAL(103,$A$11:A482)</f>
        <v>446</v>
      </c>
      <c r="C482" s="82" t="s">
        <v>886</v>
      </c>
      <c r="D482" s="83">
        <f>E482+F482+G482+H482+I482+J482+L482+M482+N482+O482+P482+Q482+R482+S482+T482+U482+V482+W482+X482+Y482+Z482+AA482</f>
        <v>230565</v>
      </c>
      <c r="E482" s="86">
        <v>0</v>
      </c>
      <c r="F482" s="86">
        <v>0</v>
      </c>
      <c r="G482" s="86">
        <v>230565</v>
      </c>
      <c r="H482" s="86">
        <v>0</v>
      </c>
      <c r="I482" s="86">
        <v>0</v>
      </c>
      <c r="J482" s="86">
        <v>0</v>
      </c>
      <c r="K482" s="87">
        <v>0</v>
      </c>
      <c r="L482" s="86">
        <v>0</v>
      </c>
      <c r="M482" s="86">
        <v>0</v>
      </c>
      <c r="N482" s="86">
        <v>0</v>
      </c>
      <c r="O482" s="86">
        <v>0</v>
      </c>
      <c r="P482" s="86">
        <v>0</v>
      </c>
      <c r="Q482" s="86">
        <v>0</v>
      </c>
      <c r="R482" s="86">
        <v>0</v>
      </c>
      <c r="S482" s="86">
        <v>0</v>
      </c>
      <c r="T482" s="86">
        <v>0</v>
      </c>
      <c r="U482" s="86">
        <v>0</v>
      </c>
      <c r="V482" s="86">
        <v>0</v>
      </c>
      <c r="W482" s="86">
        <v>0</v>
      </c>
      <c r="X482" s="86">
        <v>0</v>
      </c>
      <c r="Y482" s="86">
        <v>0</v>
      </c>
      <c r="Z482" s="86">
        <v>0</v>
      </c>
      <c r="AA482" s="86">
        <v>0</v>
      </c>
      <c r="AB482" s="88">
        <v>2020</v>
      </c>
    </row>
    <row r="483" spans="1:28" s="1" customFormat="1" ht="35.25" customHeight="1">
      <c r="A483" s="1">
        <v>1</v>
      </c>
      <c r="B483" s="38">
        <f>SUBTOTAL(103,$A$11:A483)</f>
        <v>447</v>
      </c>
      <c r="C483" s="82" t="s">
        <v>887</v>
      </c>
      <c r="D483" s="83">
        <f>E483+F483+G483+H483+I483+J483+L483+M483+N483+O483+P483+Q483+R483+S483+T483+U483+V483+W483+X483+Y483+Z483+AA483</f>
        <v>295924.5</v>
      </c>
      <c r="E483" s="86">
        <v>0</v>
      </c>
      <c r="F483" s="86">
        <v>0</v>
      </c>
      <c r="G483" s="86">
        <v>295924.5</v>
      </c>
      <c r="H483" s="86">
        <v>0</v>
      </c>
      <c r="I483" s="86">
        <v>0</v>
      </c>
      <c r="J483" s="86">
        <v>0</v>
      </c>
      <c r="K483" s="87">
        <v>0</v>
      </c>
      <c r="L483" s="86">
        <v>0</v>
      </c>
      <c r="M483" s="86">
        <v>0</v>
      </c>
      <c r="N483" s="86">
        <v>0</v>
      </c>
      <c r="O483" s="86">
        <v>0</v>
      </c>
      <c r="P483" s="86">
        <v>0</v>
      </c>
      <c r="Q483" s="86">
        <v>0</v>
      </c>
      <c r="R483" s="86">
        <v>0</v>
      </c>
      <c r="S483" s="86">
        <v>0</v>
      </c>
      <c r="T483" s="86">
        <v>0</v>
      </c>
      <c r="U483" s="86">
        <v>0</v>
      </c>
      <c r="V483" s="86">
        <v>0</v>
      </c>
      <c r="W483" s="86">
        <v>0</v>
      </c>
      <c r="X483" s="86">
        <v>0</v>
      </c>
      <c r="Y483" s="86">
        <v>0</v>
      </c>
      <c r="Z483" s="86">
        <v>0</v>
      </c>
      <c r="AA483" s="86">
        <v>0</v>
      </c>
      <c r="AB483" s="88">
        <v>2020</v>
      </c>
    </row>
    <row r="484" spans="1:28" s="1" customFormat="1" ht="35.25" customHeight="1">
      <c r="B484" s="82" t="s">
        <v>126</v>
      </c>
      <c r="C484" s="82"/>
      <c r="D484" s="83">
        <f>SUM(D485:D486)</f>
        <v>414508.1</v>
      </c>
      <c r="E484" s="83">
        <f t="shared" ref="E484:AA484" si="42">SUM(E485:E486)</f>
        <v>0</v>
      </c>
      <c r="F484" s="83">
        <f t="shared" si="42"/>
        <v>0</v>
      </c>
      <c r="G484" s="83">
        <f t="shared" si="42"/>
        <v>37496.1</v>
      </c>
      <c r="H484" s="83">
        <f t="shared" si="42"/>
        <v>0</v>
      </c>
      <c r="I484" s="83">
        <f t="shared" si="42"/>
        <v>0</v>
      </c>
      <c r="J484" s="83">
        <f t="shared" si="42"/>
        <v>0</v>
      </c>
      <c r="K484" s="84">
        <f t="shared" si="42"/>
        <v>0</v>
      </c>
      <c r="L484" s="83">
        <f t="shared" si="42"/>
        <v>0</v>
      </c>
      <c r="M484" s="83">
        <f t="shared" si="42"/>
        <v>0</v>
      </c>
      <c r="N484" s="83">
        <f t="shared" si="42"/>
        <v>0</v>
      </c>
      <c r="O484" s="83">
        <f t="shared" si="42"/>
        <v>0</v>
      </c>
      <c r="P484" s="83">
        <f t="shared" si="42"/>
        <v>377012</v>
      </c>
      <c r="Q484" s="83">
        <f t="shared" si="42"/>
        <v>0</v>
      </c>
      <c r="R484" s="83">
        <f t="shared" si="42"/>
        <v>0</v>
      </c>
      <c r="S484" s="83">
        <f t="shared" si="42"/>
        <v>0</v>
      </c>
      <c r="T484" s="83">
        <f t="shared" si="42"/>
        <v>0</v>
      </c>
      <c r="U484" s="83">
        <f t="shared" si="42"/>
        <v>0</v>
      </c>
      <c r="V484" s="83">
        <f t="shared" si="42"/>
        <v>0</v>
      </c>
      <c r="W484" s="83">
        <f t="shared" si="42"/>
        <v>0</v>
      </c>
      <c r="X484" s="83">
        <f t="shared" si="42"/>
        <v>0</v>
      </c>
      <c r="Y484" s="83">
        <f t="shared" si="42"/>
        <v>0</v>
      </c>
      <c r="Z484" s="83">
        <f t="shared" si="42"/>
        <v>0</v>
      </c>
      <c r="AA484" s="83">
        <f t="shared" si="42"/>
        <v>0</v>
      </c>
      <c r="AB484" s="85" t="s">
        <v>131</v>
      </c>
    </row>
    <row r="485" spans="1:28" s="1" customFormat="1" ht="35.25" customHeight="1">
      <c r="A485" s="1">
        <v>1</v>
      </c>
      <c r="B485" s="38">
        <f>SUBTOTAL(103,$A$11:A485)</f>
        <v>448</v>
      </c>
      <c r="C485" s="82" t="s">
        <v>888</v>
      </c>
      <c r="D485" s="83">
        <f>E485+F485+G485+H485+I485+J485+L485+M485+N485+O485+P485+Q485+R485+S485+T485+U485+V485+W485+X485+Y485+Z485+AA485</f>
        <v>37496.1</v>
      </c>
      <c r="E485" s="86">
        <v>0</v>
      </c>
      <c r="F485" s="86">
        <v>0</v>
      </c>
      <c r="G485" s="86">
        <v>37496.1</v>
      </c>
      <c r="H485" s="86">
        <v>0</v>
      </c>
      <c r="I485" s="86">
        <v>0</v>
      </c>
      <c r="J485" s="86">
        <v>0</v>
      </c>
      <c r="K485" s="87">
        <v>0</v>
      </c>
      <c r="L485" s="86">
        <v>0</v>
      </c>
      <c r="M485" s="86">
        <v>0</v>
      </c>
      <c r="N485" s="86">
        <v>0</v>
      </c>
      <c r="O485" s="86">
        <v>0</v>
      </c>
      <c r="P485" s="86">
        <v>0</v>
      </c>
      <c r="Q485" s="86">
        <v>0</v>
      </c>
      <c r="R485" s="86">
        <v>0</v>
      </c>
      <c r="S485" s="86">
        <v>0</v>
      </c>
      <c r="T485" s="86">
        <v>0</v>
      </c>
      <c r="U485" s="86">
        <v>0</v>
      </c>
      <c r="V485" s="86">
        <v>0</v>
      </c>
      <c r="W485" s="86">
        <v>0</v>
      </c>
      <c r="X485" s="86">
        <v>0</v>
      </c>
      <c r="Y485" s="86">
        <v>0</v>
      </c>
      <c r="Z485" s="86">
        <v>0</v>
      </c>
      <c r="AA485" s="86">
        <v>0</v>
      </c>
      <c r="AB485" s="88">
        <v>2020</v>
      </c>
    </row>
    <row r="486" spans="1:28" s="1" customFormat="1" ht="35.25">
      <c r="A486" s="1">
        <v>1</v>
      </c>
      <c r="B486" s="38">
        <f>SUBTOTAL(103,$A$11:A486)</f>
        <v>449</v>
      </c>
      <c r="C486" s="82" t="s">
        <v>889</v>
      </c>
      <c r="D486" s="83">
        <f>E486+F486+G486+H486+I486+J486+L486+M486+N486+O486+P486+Q486+R486+S486+T486+U486+V486+W486+X486+Y486+Z486+AA486</f>
        <v>377012</v>
      </c>
      <c r="E486" s="86">
        <v>0</v>
      </c>
      <c r="F486" s="86">
        <v>0</v>
      </c>
      <c r="G486" s="86">
        <v>0</v>
      </c>
      <c r="H486" s="86">
        <v>0</v>
      </c>
      <c r="I486" s="86">
        <v>0</v>
      </c>
      <c r="J486" s="86">
        <v>0</v>
      </c>
      <c r="K486" s="87">
        <v>0</v>
      </c>
      <c r="L486" s="86">
        <v>0</v>
      </c>
      <c r="M486" s="86">
        <v>0</v>
      </c>
      <c r="N486" s="86">
        <v>0</v>
      </c>
      <c r="O486" s="86">
        <v>0</v>
      </c>
      <c r="P486" s="86">
        <v>377012</v>
      </c>
      <c r="Q486" s="86">
        <v>0</v>
      </c>
      <c r="R486" s="86">
        <v>0</v>
      </c>
      <c r="S486" s="86">
        <v>0</v>
      </c>
      <c r="T486" s="86">
        <v>0</v>
      </c>
      <c r="U486" s="86">
        <v>0</v>
      </c>
      <c r="V486" s="86">
        <v>0</v>
      </c>
      <c r="W486" s="86">
        <v>0</v>
      </c>
      <c r="X486" s="86">
        <v>0</v>
      </c>
      <c r="Y486" s="86">
        <v>0</v>
      </c>
      <c r="Z486" s="86">
        <v>0</v>
      </c>
      <c r="AA486" s="86">
        <v>0</v>
      </c>
      <c r="AB486" s="88">
        <v>2020</v>
      </c>
    </row>
  </sheetData>
  <autoFilter ref="A11:AB486"/>
  <mergeCells count="24">
    <mergeCell ref="Z7:Z8"/>
    <mergeCell ref="AA7:AA8"/>
    <mergeCell ref="T7:T8"/>
    <mergeCell ref="U7:U8"/>
    <mergeCell ref="V7:V8"/>
    <mergeCell ref="W7:W8"/>
    <mergeCell ref="X7:X8"/>
    <mergeCell ref="Y7:Y8"/>
    <mergeCell ref="S7:S8"/>
    <mergeCell ref="A5:AB5"/>
    <mergeCell ref="B6:B9"/>
    <mergeCell ref="C6:C9"/>
    <mergeCell ref="D6:D8"/>
    <mergeCell ref="E6:P6"/>
    <mergeCell ref="Q6:AA6"/>
    <mergeCell ref="AB6:AB9"/>
    <mergeCell ref="E7:J7"/>
    <mergeCell ref="K7:L8"/>
    <mergeCell ref="M7:M8"/>
    <mergeCell ref="N7:N8"/>
    <mergeCell ref="O7:O8"/>
    <mergeCell ref="P7:P8"/>
    <mergeCell ref="Q7:Q8"/>
    <mergeCell ref="R7:R8"/>
  </mergeCells>
  <conditionalFormatting sqref="C487:C65532">
    <cfRule type="duplicateValues" dxfId="26" priority="75" stopIfTrue="1"/>
  </conditionalFormatting>
  <conditionalFormatting sqref="C26">
    <cfRule type="duplicateValues" dxfId="25" priority="9" stopIfTrue="1"/>
  </conditionalFormatting>
  <conditionalFormatting sqref="C44">
    <cfRule type="duplicateValues" dxfId="24" priority="8" stopIfTrue="1"/>
  </conditionalFormatting>
  <conditionalFormatting sqref="C30">
    <cfRule type="duplicateValues" dxfId="23" priority="7" stopIfTrue="1"/>
  </conditionalFormatting>
  <conditionalFormatting sqref="C33">
    <cfRule type="duplicateValues" dxfId="22" priority="6" stopIfTrue="1"/>
  </conditionalFormatting>
  <conditionalFormatting sqref="C368:C372 C11:C12 C230 C232 C234:C242 C374:C383 C385:C419 C184:C228 C326:C330 C333:C340">
    <cfRule type="duplicateValues" dxfId="21" priority="24" stopIfTrue="1"/>
  </conditionalFormatting>
  <conditionalFormatting sqref="C341:C342">
    <cfRule type="duplicateValues" dxfId="20" priority="23" stopIfTrue="1"/>
  </conditionalFormatting>
  <conditionalFormatting sqref="C348">
    <cfRule type="duplicateValues" dxfId="19" priority="22" stopIfTrue="1"/>
  </conditionalFormatting>
  <conditionalFormatting sqref="C347">
    <cfRule type="duplicateValues" dxfId="18" priority="21" stopIfTrue="1"/>
  </conditionalFormatting>
  <conditionalFormatting sqref="C346">
    <cfRule type="duplicateValues" dxfId="17" priority="20" stopIfTrue="1"/>
  </conditionalFormatting>
  <conditionalFormatting sqref="C345">
    <cfRule type="duplicateValues" dxfId="16" priority="19" stopIfTrue="1"/>
  </conditionalFormatting>
  <conditionalFormatting sqref="C344">
    <cfRule type="duplicateValues" dxfId="15" priority="18" stopIfTrue="1"/>
  </conditionalFormatting>
  <conditionalFormatting sqref="C343">
    <cfRule type="duplicateValues" dxfId="14" priority="17" stopIfTrue="1"/>
  </conditionalFormatting>
  <conditionalFormatting sqref="C229">
    <cfRule type="duplicateValues" dxfId="13" priority="16" stopIfTrue="1"/>
  </conditionalFormatting>
  <conditionalFormatting sqref="C231">
    <cfRule type="duplicateValues" dxfId="12" priority="15" stopIfTrue="1"/>
  </conditionalFormatting>
  <conditionalFormatting sqref="C233">
    <cfRule type="duplicateValues" dxfId="11" priority="14" stopIfTrue="1"/>
  </conditionalFormatting>
  <conditionalFormatting sqref="C373">
    <cfRule type="duplicateValues" dxfId="10" priority="13" stopIfTrue="1"/>
  </conditionalFormatting>
  <conditionalFormatting sqref="C384">
    <cfRule type="duplicateValues" dxfId="9" priority="12" stopIfTrue="1"/>
  </conditionalFormatting>
  <conditionalFormatting sqref="C183 C79:C108">
    <cfRule type="duplicateValues" dxfId="8" priority="10" stopIfTrue="1"/>
  </conditionalFormatting>
  <conditionalFormatting sqref="C183 C13:C108">
    <cfRule type="duplicateValues" dxfId="7" priority="11" stopIfTrue="1"/>
  </conditionalFormatting>
  <conditionalFormatting sqref="C11:C108 C183:C278 C280:C330 C333:C349 C367:C434">
    <cfRule type="duplicateValues" dxfId="6" priority="5" stopIfTrue="1"/>
  </conditionalFormatting>
  <conditionalFormatting sqref="C279">
    <cfRule type="duplicateValues" dxfId="5" priority="4" stopIfTrue="1"/>
  </conditionalFormatting>
  <conditionalFormatting sqref="C279">
    <cfRule type="duplicateValues" dxfId="4" priority="3" stopIfTrue="1"/>
  </conditionalFormatting>
  <conditionalFormatting sqref="C331:C332">
    <cfRule type="duplicateValues" dxfId="3" priority="2" stopIfTrue="1"/>
  </conditionalFormatting>
  <conditionalFormatting sqref="C331:C332">
    <cfRule type="duplicateValues" dxfId="2" priority="1" stopIfTrue="1"/>
  </conditionalFormatting>
  <conditionalFormatting sqref="C45:C78 C27:C29 C31:C32 C34:C43 C13:C25">
    <cfRule type="duplicateValues" dxfId="1" priority="25" stopIfTrue="1"/>
  </conditionalFormatting>
  <conditionalFormatting sqref="C280:C325 C243:C278">
    <cfRule type="duplicateValues" dxfId="0" priority="26" stopIfTrue="1"/>
  </conditionalFormatting>
  <pageMargins left="0.25" right="0.25" top="0.53" bottom="0.3" header="0.3" footer="0.3"/>
  <pageSetup paperSize="9" scale="1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Реестр_бонусы</vt:lpstr>
      <vt:lpstr>Перечень_бонусы</vt:lpstr>
      <vt:lpstr>Планируемые показат_бонусы</vt:lpstr>
      <vt:lpstr>Спец.счета КП 2020-2022</vt:lpstr>
      <vt:lpstr>'Спец.счета КП 2020-2022'!Область_печати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Eruntsova</cp:lastModifiedBy>
  <cp:lastPrinted>2021-02-10T13:29:48Z</cp:lastPrinted>
  <dcterms:created xsi:type="dcterms:W3CDTF">2019-03-21T15:19:46Z</dcterms:created>
  <dcterms:modified xsi:type="dcterms:W3CDTF">2021-02-10T13:30:48Z</dcterms:modified>
</cp:coreProperties>
</file>